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<sst xmlns="http://schemas.openxmlformats.org/spreadsheetml/2006/main" count="1185" uniqueCount="576">
  <si>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</si>
  <si>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</si>
  <si>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</si>
  <si>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</si>
  <si>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</si>
  <si>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</si>
  <si>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</si>
  <si>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</si>
  <si>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</si>
  <si>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</si>
  <si>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</si>
  <si>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</si>
  <si>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</si>
  <si>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</si>
  <si>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</si>
  <si>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</si>
  <si>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</si>
  <si>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</si>
  <si>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</si>
  <si>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</si>
  <si>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</si>
  <si>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</si>
  <si>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</si>
  <si>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</si>
  <si>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</si>
  <si>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</si>
  <si>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</si>
  <si>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</si>
  <si>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</si>
  <si>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</si>
  <si>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</si>
  <si>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</si>
  <si>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</si>
  <si>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</si>
  <si>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</si>
  <si>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</si>
  <si>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</si>
  <si>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</si>
  <si>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</si>
  <si>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</si>
  <si>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</si>
  <si>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</si>
  <si>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</si>
  <si>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</si>
  <si>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</si>
  <si>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</si>
  <si>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</si>
  <si>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</si>
  <si>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</si>
  <si>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</si>
  <si>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</si>
  <si>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</si>
  <si>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</si>
  <si>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</si>
  <si>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</si>
  <si>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</si>
  <si>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</si>
  <si>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</si>
  <si>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</si>
  <si>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</si>
  <si>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</si>
  <si>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</si>
  <si>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</si>
  <si>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</si>
  <si>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</si>
  <si>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</si>
  <si>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</si>
  <si>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</si>
  <si>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</si>
  <si>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</si>
  <si>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</si>
  <si>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</si>
  <si>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</si>
  <si>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</si>
  <si>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</si>
  <si>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</si>
  <si>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</si>
  <si>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</si>
  <si>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</si>
  <si>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</si>
  <si>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</si>
  <si>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</si>
  <si>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</si>
  <si>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</si>
  <si>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</si>
  <si>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</si>
  <si>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</si>
  <si>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</si>
  <si>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</si>
  <si>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</si>
  <si>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</si>
  <si>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</si>
  <si>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</si>
  <si>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</si>
  <si>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</si>
  <si>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</si>
  <si>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</si>
  <si>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</si>
  <si>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</si>
  <si>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</si>
  <si>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</si>
  <si>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</si>
  <si>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</si>
  <si>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</si>
  <si>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</si>
  <si>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</si>
  <si>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</si>
  <si>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</si>
  <si>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</si>
  <si>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</si>
  <si>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</si>
  <si>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</si>
  <si>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</si>
  <si>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</si>
  <si>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</si>
  <si>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</si>
  <si>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</si>
  <si>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</si>
  <si>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</si>
  <si>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</si>
  <si>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</si>
  <si>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</si>
  <si>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</si>
  <si>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</si>
  <si>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</si>
  <si>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</si>
  <si>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</si>
  <si>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</si>
  <si>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</si>
  <si>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</si>
  <si>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</si>
  <si>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</si>
  <si>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</si>
  <si>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</si>
  <si>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</si>
  <si>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</si>
  <si>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</si>
  <si>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</si>
  <si>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</si>
  <si>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</si>
  <si>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</si>
  <si>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</si>
  <si>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</si>
  <si>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</si>
  <si>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</si>
  <si>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</si>
  <si>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</si>
  <si>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</si>
  <si>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</si>
  <si>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</si>
  <si>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</si>
  <si>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Objekt</t>
  </si>
  <si>
    <t>B1</t>
  </si>
  <si>
    <t>B3</t>
  </si>
  <si>
    <t>Kód</t>
  </si>
  <si>
    <t>120901121R00</t>
  </si>
  <si>
    <t>132201401R00</t>
  </si>
  <si>
    <t>161101601R00</t>
  </si>
  <si>
    <t>162201201R00</t>
  </si>
  <si>
    <t>174101101R00</t>
  </si>
  <si>
    <t>564211111R00</t>
  </si>
  <si>
    <t>581114113R00</t>
  </si>
  <si>
    <t>612403399RT2</t>
  </si>
  <si>
    <t>612423631RT2</t>
  </si>
  <si>
    <t>611475111RT3</t>
  </si>
  <si>
    <t>998011003R00</t>
  </si>
  <si>
    <t>711</t>
  </si>
  <si>
    <t>711541164R00</t>
  </si>
  <si>
    <t>998711103R00</t>
  </si>
  <si>
    <t>998711192R00</t>
  </si>
  <si>
    <t>713</t>
  </si>
  <si>
    <t>28377202.A</t>
  </si>
  <si>
    <t>28377207.A</t>
  </si>
  <si>
    <t>28377215.A</t>
  </si>
  <si>
    <t>713461111R00</t>
  </si>
  <si>
    <t>998713103R00</t>
  </si>
  <si>
    <t>998713192R00</t>
  </si>
  <si>
    <t>723</t>
  </si>
  <si>
    <t>42277833</t>
  </si>
  <si>
    <t>42233583</t>
  </si>
  <si>
    <t>38841150</t>
  </si>
  <si>
    <t>723110202R00</t>
  </si>
  <si>
    <t>723110203R00</t>
  </si>
  <si>
    <t>723110205R00</t>
  </si>
  <si>
    <t>723160205R00</t>
  </si>
  <si>
    <t>723160335R00</t>
  </si>
  <si>
    <t>723190252R00</t>
  </si>
  <si>
    <t>723190912R00</t>
  </si>
  <si>
    <t>723190913R00</t>
  </si>
  <si>
    <t>723150367R00</t>
  </si>
  <si>
    <t>723234221RM1</t>
  </si>
  <si>
    <t>723221112R00</t>
  </si>
  <si>
    <t>723239101RT2</t>
  </si>
  <si>
    <t>723239102RT2</t>
  </si>
  <si>
    <t>723239104RT2</t>
  </si>
  <si>
    <t>723261912R00</t>
  </si>
  <si>
    <t>723190901R00</t>
  </si>
  <si>
    <t>723239211R00</t>
  </si>
  <si>
    <t>723190907R00</t>
  </si>
  <si>
    <t>723190909R00</t>
  </si>
  <si>
    <t>998723103R00</t>
  </si>
  <si>
    <t>998723192R00</t>
  </si>
  <si>
    <t>731</t>
  </si>
  <si>
    <t>484WB3A019VD</t>
  </si>
  <si>
    <t>4847178820VD</t>
  </si>
  <si>
    <t>731100834R00</t>
  </si>
  <si>
    <t>731200832R00</t>
  </si>
  <si>
    <t>731202830R00</t>
  </si>
  <si>
    <t>731249312R00</t>
  </si>
  <si>
    <t>731341140R00</t>
  </si>
  <si>
    <t>731391813R00</t>
  </si>
  <si>
    <t>731890802R00</t>
  </si>
  <si>
    <t>998731102R00</t>
  </si>
  <si>
    <t>998731193R00</t>
  </si>
  <si>
    <t>732</t>
  </si>
  <si>
    <t>66450.21IM</t>
  </si>
  <si>
    <t>66364.54IM</t>
  </si>
  <si>
    <t>484Z002071VD</t>
  </si>
  <si>
    <t>4847219729VD</t>
  </si>
  <si>
    <t>4847265060VD</t>
  </si>
  <si>
    <t>42610912</t>
  </si>
  <si>
    <t>4847170931VD</t>
  </si>
  <si>
    <t>66511IM</t>
  </si>
  <si>
    <t>66522.60IM</t>
  </si>
  <si>
    <t>66521.60IM</t>
  </si>
  <si>
    <t>732110812R00</t>
  </si>
  <si>
    <t>732119193R00</t>
  </si>
  <si>
    <t>732349101R00</t>
  </si>
  <si>
    <t>732212815R00</t>
  </si>
  <si>
    <t>732214813R00</t>
  </si>
  <si>
    <t>732420815R00</t>
  </si>
  <si>
    <t>732219315R00</t>
  </si>
  <si>
    <t>732429112R00</t>
  </si>
  <si>
    <t>732429118R00</t>
  </si>
  <si>
    <t>732331521R00</t>
  </si>
  <si>
    <t>732890802R00</t>
  </si>
  <si>
    <t>998732102R00</t>
  </si>
  <si>
    <t>998732193R00</t>
  </si>
  <si>
    <t>733</t>
  </si>
  <si>
    <t>19632676</t>
  </si>
  <si>
    <t>19632716</t>
  </si>
  <si>
    <t>19632762</t>
  </si>
  <si>
    <t>733110808R00</t>
  </si>
  <si>
    <t>733110810R00</t>
  </si>
  <si>
    <t>733164104RT1</t>
  </si>
  <si>
    <t>733164106RT5</t>
  </si>
  <si>
    <t>733164108RT5</t>
  </si>
  <si>
    <t>733165202R00</t>
  </si>
  <si>
    <t>733113118R00</t>
  </si>
  <si>
    <t>733191111R00</t>
  </si>
  <si>
    <t>733191112R00</t>
  </si>
  <si>
    <t>733191828R00</t>
  </si>
  <si>
    <t>733890803R00</t>
  </si>
  <si>
    <t>998733103R00</t>
  </si>
  <si>
    <t>998733193R00</t>
  </si>
  <si>
    <t>734</t>
  </si>
  <si>
    <t>734100812R00</t>
  </si>
  <si>
    <t>734890803R00</t>
  </si>
  <si>
    <t>734209103RT2</t>
  </si>
  <si>
    <t>734209103RT3</t>
  </si>
  <si>
    <t>734209117RT2</t>
  </si>
  <si>
    <t>734209117RT4</t>
  </si>
  <si>
    <t>734251123R00</t>
  </si>
  <si>
    <t>998734103R00</t>
  </si>
  <si>
    <t>998734193R00</t>
  </si>
  <si>
    <t>783</t>
  </si>
  <si>
    <t>783424340R00</t>
  </si>
  <si>
    <t>784</t>
  </si>
  <si>
    <t>784452922R00</t>
  </si>
  <si>
    <t>904      R02</t>
  </si>
  <si>
    <t>4847339873VD</t>
  </si>
  <si>
    <t>4847516573VD</t>
  </si>
  <si>
    <t>4847516579VD</t>
  </si>
  <si>
    <t>4847180323VD</t>
  </si>
  <si>
    <t>4847176681VD</t>
  </si>
  <si>
    <t>4847176672VD</t>
  </si>
  <si>
    <t>4847176674VD</t>
  </si>
  <si>
    <t>4847176678VD</t>
  </si>
  <si>
    <t>4847176676VD</t>
  </si>
  <si>
    <t>953802313R00</t>
  </si>
  <si>
    <t>953802321R00</t>
  </si>
  <si>
    <t>M36</t>
  </si>
  <si>
    <t>484Z001846VD</t>
  </si>
  <si>
    <t>4847170925VD</t>
  </si>
  <si>
    <t>4847179114VD</t>
  </si>
  <si>
    <t>4847179488VD</t>
  </si>
  <si>
    <t>4847450642VD</t>
  </si>
  <si>
    <t>4847415057VD</t>
  </si>
  <si>
    <t>4847415056VD</t>
  </si>
  <si>
    <t>4847159671VD</t>
  </si>
  <si>
    <t>484-66341VD</t>
  </si>
  <si>
    <t>361190203R00</t>
  </si>
  <si>
    <t>361420115R00</t>
  </si>
  <si>
    <t>361420116R00</t>
  </si>
  <si>
    <t>360430028R00</t>
  </si>
  <si>
    <t>722</t>
  </si>
  <si>
    <t>722131932R00</t>
  </si>
  <si>
    <t>722131933R00</t>
  </si>
  <si>
    <t>722231161R00</t>
  </si>
  <si>
    <t>722230104R00</t>
  </si>
  <si>
    <t>722231064R00</t>
  </si>
  <si>
    <t>998722103R00</t>
  </si>
  <si>
    <t>998722192R00</t>
  </si>
  <si>
    <t>724</t>
  </si>
  <si>
    <t>48470053.M</t>
  </si>
  <si>
    <t>200247IM</t>
  </si>
  <si>
    <t>724122816R00</t>
  </si>
  <si>
    <t>724399101R00</t>
  </si>
  <si>
    <t>724139101R00</t>
  </si>
  <si>
    <t>724590813R00</t>
  </si>
  <si>
    <t>998724103R00</t>
  </si>
  <si>
    <t>Modernizace</t>
  </si>
  <si>
    <t>Třebívlice</t>
  </si>
  <si>
    <t>801691</t>
  </si>
  <si>
    <t>Zkrácený popis</t>
  </si>
  <si>
    <t>VYTÁPĚNÍ A PLYNOVOD</t>
  </si>
  <si>
    <t>Odkopávky a prokopávky</t>
  </si>
  <si>
    <t>Bourání konstrukcí z prostého betonu</t>
  </si>
  <si>
    <t>Hloubené vykopávky</t>
  </si>
  <si>
    <t>Hloubený výkop pod základy v hor.3</t>
  </si>
  <si>
    <t>Přemístění výkopku</t>
  </si>
  <si>
    <t>Vytažení výkopku z pod základů, hor 1-4, hl.do 2 m</t>
  </si>
  <si>
    <t>Vodorovné přemíst. výkopku nošením hor.1-4, do 10m</t>
  </si>
  <si>
    <t>Konstrukce ze zemin</t>
  </si>
  <si>
    <t>Zásyp jam, rýh, šachet se zhutněním</t>
  </si>
  <si>
    <t>Podkladní vrstvy komunikací, letišť a ploch</t>
  </si>
  <si>
    <t>Podklad ze štěrkopísku po zhutnění tloušťky 5 cm</t>
  </si>
  <si>
    <t>Cementobetonové kryty komunikací a ploch</t>
  </si>
  <si>
    <t>Kryt z betonu komunikací pro pěší tloušťky 10 cm</t>
  </si>
  <si>
    <t>Úprava povrchů vnitřní</t>
  </si>
  <si>
    <t>Hrubá výplň rýh ve stěnách maltou</t>
  </si>
  <si>
    <t>Omítka rýh stěn MV o šířce do 30 cm, štuková</t>
  </si>
  <si>
    <t>Omítka vnitřní stropů Hasit vápenná jednovrstvá</t>
  </si>
  <si>
    <t>Přesun hmot pro budovy zděné výšky do 24 m</t>
  </si>
  <si>
    <t>Izolace proti vodě</t>
  </si>
  <si>
    <t>Izolace plynovodního potrubí</t>
  </si>
  <si>
    <t>Přesun hmot pro izolace proti vodě, výšky do 60 m</t>
  </si>
  <si>
    <t>Příplatek zvětš. přesun, izol. proti vodě do 100 m</t>
  </si>
  <si>
    <t>Izolace tepelné</t>
  </si>
  <si>
    <t>Trubice izolační plast PET 22x25 mm</t>
  </si>
  <si>
    <t>Trubice izolační plast PET 35x25 mm</t>
  </si>
  <si>
    <t>Trubice izolační PET 62x25 mm</t>
  </si>
  <si>
    <t>Izolace potrubí skružemi 1vrstvá</t>
  </si>
  <si>
    <t>Přesun hmot pro izolace tepelné, výšky do 24 m</t>
  </si>
  <si>
    <t>Příplatek zvětš. přesun, izolace tepelné do 100 m</t>
  </si>
  <si>
    <t>Vnitřní plynovod</t>
  </si>
  <si>
    <t>Přípojka tlakoměrová přechodová 752104  G 1/2"</t>
  </si>
  <si>
    <t>Kohout tlakoměrový 121008  M12 x 1,5 mm obyčejný</t>
  </si>
  <si>
    <t>Tlakoměr d 160 0-6kPa spodní přípoj</t>
  </si>
  <si>
    <t>Potrubí ocel. závitové černé šroubované DN 15</t>
  </si>
  <si>
    <t>Potrubí ocel. závitové černé šroubované DN 20</t>
  </si>
  <si>
    <t>Potrubí ocel. závitové černé šroubované DN 32</t>
  </si>
  <si>
    <t>Přípojka k plynoměru, závitová bez ochozu G 5/4</t>
  </si>
  <si>
    <t>Rozpěrka přípojky plynoměru G 5/4</t>
  </si>
  <si>
    <t>Vyvedení a upevnění plynovodních výpustek DN 20</t>
  </si>
  <si>
    <t>Navaření odbočky na plynové potrubí DN 15</t>
  </si>
  <si>
    <t>Navaření odbočky na plynové potrubí DN 20</t>
  </si>
  <si>
    <t>Potrubí ocel. černé svařované - chráničky D 57/2,9</t>
  </si>
  <si>
    <t>Regulátor středotlaký, bez armatur</t>
  </si>
  <si>
    <t>Armatura s 1závitem-nátrubek,G 1/2</t>
  </si>
  <si>
    <t>Plynovodní armatura, 2 závity, G 1/2</t>
  </si>
  <si>
    <t>Plynovodních armatura, 2 závity, G 3/4</t>
  </si>
  <si>
    <t>Plynovodních armatura, 2 závity, G 5/4</t>
  </si>
  <si>
    <t>Oprava - montáž plynoměrů PS-2, PS-6</t>
  </si>
  <si>
    <t>Uzavření nebo otevření plynového potrubí</t>
  </si>
  <si>
    <t>Montáž manometru</t>
  </si>
  <si>
    <t>Odvzdušnění a napuštění plynového potrubí</t>
  </si>
  <si>
    <t>Zkouška tlaková  plynového potrubí</t>
  </si>
  <si>
    <t>Přesun hmot pro vnitřní plynovod, výšky do 24 m</t>
  </si>
  <si>
    <t>Příplatek zvětš. přesun, vnitřní plynovod do 100 m</t>
  </si>
  <si>
    <t>Kotelny</t>
  </si>
  <si>
    <t>Záv. kondenz. kotel nerez 16,6 - 66 kW</t>
  </si>
  <si>
    <t>Kotlové čerpadlo RS 7 BUS</t>
  </si>
  <si>
    <t>Demontáž kotle litinového VSB I, E I, 8 čl.</t>
  </si>
  <si>
    <t>Demontáž kotlů rychlovyhřívacích s příp.TUV</t>
  </si>
  <si>
    <t>Rozřezání kotlů ocelových do 2500 kg</t>
  </si>
  <si>
    <t>Montáž závěsných kotlů turbo bez TUV, odkouření</t>
  </si>
  <si>
    <t>Hadice napouštěcí pryžové D 20/28</t>
  </si>
  <si>
    <t>Vypouštění vody z kotlů samospádem do 20 m2</t>
  </si>
  <si>
    <t>Přesun vybouraných hmot-kotelny,H do 12 m</t>
  </si>
  <si>
    <t>Přesun hmot pro kotelny, výšky do 12 m</t>
  </si>
  <si>
    <t>Příplatek zvětšený přesun, kotelny do 500 m</t>
  </si>
  <si>
    <t>Strojovny</t>
  </si>
  <si>
    <t>Velký rozdělovač typ MGV50 - DN 50 3-okruh. modul</t>
  </si>
  <si>
    <t>Stabilizátor kvality OS  typ MH 50 MA - DN 50</t>
  </si>
  <si>
    <t>Vert.zásob.ohř.bival. 500l s vnitř.ohř.nerez</t>
  </si>
  <si>
    <t>Závit.koleno pro mont.čidla</t>
  </si>
  <si>
    <t>Jímka pro čidlo</t>
  </si>
  <si>
    <t>Čerp.oběhové vel. 32-40 tříot. 230 V, 180 mm</t>
  </si>
  <si>
    <t>Čerpací jednotka solar vel.č.25-60</t>
  </si>
  <si>
    <t>Čerpadl.skupina nesměš.V-UK DN 25 s čerpadlem vel.25-40 tříot.</t>
  </si>
  <si>
    <t>Čerpadl.skupina směš.V-MK DN 32 s čerpadlem vel.32-60 elektron.</t>
  </si>
  <si>
    <t>Čerpadl.skupina směš.V-MK DN 25 s čerpadlem vel.25-60 elektron.</t>
  </si>
  <si>
    <t>Demontáž těles rozdělovačů a sběračů, DN 200 mm</t>
  </si>
  <si>
    <t>M. rozdělovačů a sběračů 120x120mm</t>
  </si>
  <si>
    <t>Montáž anuloidu I - průtok 4 m3/hod</t>
  </si>
  <si>
    <t>Demontáž ohříváků zásobníkových stojat.do 1600 l</t>
  </si>
  <si>
    <t>Vypuštění vody z ohříváků o obsahu do 630 l</t>
  </si>
  <si>
    <t>Demontáž čerpadel oběhových spirálních DN 80</t>
  </si>
  <si>
    <t>Montáž ohříváků vody stojat.PN 0,6-0,6,do 1000 l</t>
  </si>
  <si>
    <t>Montáž čerpadel oběhových, DN 32</t>
  </si>
  <si>
    <t>Montáž čerpadlových skupin</t>
  </si>
  <si>
    <t>Nádoby expanzní tlakové 6bar, 120°C, 400 l</t>
  </si>
  <si>
    <t>Přesun vybouraných hmot - strojovny, H do 12 m</t>
  </si>
  <si>
    <t>Přesun hmot pro strojovny, výšky do 12 m</t>
  </si>
  <si>
    <t>Příplatek zvětšený přesun, strojovny do 500 m</t>
  </si>
  <si>
    <t>Rozvod potrubí</t>
  </si>
  <si>
    <t>Trubka měděná E Cu 99,99 Supersan tvrdá 22x1,5 mm</t>
  </si>
  <si>
    <t>Trubka měděná E Cu 99,99 Supersan tvrdá 35x1,5 mm</t>
  </si>
  <si>
    <t>Trubka měděná E Cu 99,99 Supersan tvrdá 54x2 mm</t>
  </si>
  <si>
    <t>Demontáž potrubí ocelového závitového do DN 32-50</t>
  </si>
  <si>
    <t>Demontáž potrubí ocelového závitového do DN 50-80</t>
  </si>
  <si>
    <t>Montáž potrubí z měděných trubek D 22 mm</t>
  </si>
  <si>
    <t>Montáž potrubí z měděných trubek D 35 mm</t>
  </si>
  <si>
    <t>Montáž potrubí z měděných trubek D 54 mm</t>
  </si>
  <si>
    <t>Montáž tvar.Cu lisováním D15-22 mm 1 spoj</t>
  </si>
  <si>
    <t>Příplatek za zhotovení přípojky DN 50</t>
  </si>
  <si>
    <t>Manžety prostupové pro trubky do DN 20</t>
  </si>
  <si>
    <t>Manžety prostupové pro trubky do DN 32</t>
  </si>
  <si>
    <t>Odřezání třmenových držáků potrubí do D 108</t>
  </si>
  <si>
    <t>Přesun vybouraných hmot rozvodů potrubí,H 24 m</t>
  </si>
  <si>
    <t>Přesun hmot pro rozvody potrubí, výšky do 24 m</t>
  </si>
  <si>
    <t>Příplatek zvětš. přesun, rozvody potrubí do 500 m</t>
  </si>
  <si>
    <t>Armatury</t>
  </si>
  <si>
    <t>Demontáž armatur se dvěma přírubami do DN 100</t>
  </si>
  <si>
    <t>Přesun demontovaných hmot armatur, H do 24 m</t>
  </si>
  <si>
    <t>Automatický odlučovač vzduchu, G 1/2</t>
  </si>
  <si>
    <t>Vypouštěcí kulový kohout, G 1/2</t>
  </si>
  <si>
    <t>Kulový kohout, G 6/4</t>
  </si>
  <si>
    <t>Zpětný ventil, G 6/4</t>
  </si>
  <si>
    <t>Ventily pojistné ot.p. 2,5 bar, G 1/2</t>
  </si>
  <si>
    <t>Přesun hmot pro armatury, výšky do 24 m</t>
  </si>
  <si>
    <t>Příplatek zvětšený přesun, armatury do 500 m</t>
  </si>
  <si>
    <t>Nátěry</t>
  </si>
  <si>
    <t>Nátěr syntet. potrubí do DN 50 mm  Z+2x +1x email</t>
  </si>
  <si>
    <t>Malby</t>
  </si>
  <si>
    <t>Oprava,malba směsí tekut.2x,1bar+oškr. místn. 5 m</t>
  </si>
  <si>
    <t>Hodinové zúčtovací sazby (HZS)</t>
  </si>
  <si>
    <t>Hzs topná zkouška</t>
  </si>
  <si>
    <t>Různé dokončovací konstrukce a práce pozemních staveb</t>
  </si>
  <si>
    <t>Distanční držák 3 ks</t>
  </si>
  <si>
    <t>Kouřovod 2ks á 2m, DN100 - 4 m</t>
  </si>
  <si>
    <t>Kouřovod 1 m, dn100</t>
  </si>
  <si>
    <t>Základní sada šachty d.100</t>
  </si>
  <si>
    <t>Stěnová clona</t>
  </si>
  <si>
    <t>AZ trubka 1m DN100/150</t>
  </si>
  <si>
    <t>AZ koleno 87° DN100/150</t>
  </si>
  <si>
    <t>AZ posuvné hrdlo DN100/150</t>
  </si>
  <si>
    <t>AZ revizní kus, přímý 100/150</t>
  </si>
  <si>
    <t>Montáž komínové vložky pevné do 130 mm,do 15 m</t>
  </si>
  <si>
    <t>Montáž kouřovodu do 200 mm,do 5 m</t>
  </si>
  <si>
    <t>Montáže měřicích a regulačních zařízení</t>
  </si>
  <si>
    <t>Regul.ekv. 3 mix.TO, komunik.</t>
  </si>
  <si>
    <t>Regulace biv.ohř.</t>
  </si>
  <si>
    <t>Čidlo teploty zásobníku</t>
  </si>
  <si>
    <t>Ponorné teplotní čidlo</t>
  </si>
  <si>
    <t>Příložné čidlo teploty</t>
  </si>
  <si>
    <t>Konektor č.52 - 3 ks</t>
  </si>
  <si>
    <t>Konektor č.20 - 3 ks</t>
  </si>
  <si>
    <t>Servopohon NRD 230-T 220 V</t>
  </si>
  <si>
    <t>Montáž skříně elektroniky</t>
  </si>
  <si>
    <t>Montáž čidla pro regulátor teploty typ TA</t>
  </si>
  <si>
    <t>Montáž čidla pro regulátor teploty typ TV,TVZ,TVA</t>
  </si>
  <si>
    <t>Montáž elektr. servopohonu</t>
  </si>
  <si>
    <t>VODOVOD A KANALIZACE</t>
  </si>
  <si>
    <t>Vnitřní vodovod</t>
  </si>
  <si>
    <t>Oprava-propojení dosavadního potrubí závit. DN 20</t>
  </si>
  <si>
    <t>Oprava-propojení dosavadního potrubí závit. DN 25</t>
  </si>
  <si>
    <t>Ventil pojistný pro ohř.TV, G 1/2</t>
  </si>
  <si>
    <t>Armatura se 2závity - uzávěr přímý, G 5/4</t>
  </si>
  <si>
    <t>Armatura se 2závity - ventil zpětný, G 5/4</t>
  </si>
  <si>
    <t>Přesun hmot pro vnitřní vodovod, výšky do 24 m</t>
  </si>
  <si>
    <t>Příplatek zvětš. přesun, vnitřní vodovod do 100 m</t>
  </si>
  <si>
    <t>Strojní vybavení</t>
  </si>
  <si>
    <t>Úpravna vody kabinetová</t>
  </si>
  <si>
    <t>Cirk.čerp.vel.20-14 s uz.a zp.vent., 220 V pro teplou vodu</t>
  </si>
  <si>
    <t>Demontáž čerpadel ostatních  G 6/4</t>
  </si>
  <si>
    <t>Montáž úpravny vody</t>
  </si>
  <si>
    <t>Montáž čerpadel cirkulačních</t>
  </si>
  <si>
    <t>Přesun vybour. hmot pro strojní vybavení H 24 m</t>
  </si>
  <si>
    <t>Přesun hmot pro strojní vybavení, výšky do 24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</si>
  <si>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</si>
  <si>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</si>
  <si>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</si>
  <si>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</si>
  <si>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</si>
  <si>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</si>
  <si>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</si>
  <si>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</si>
  <si>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</t>
  </si>
  <si>
    <t>kus</t>
  </si>
  <si>
    <t>soubor</t>
  </si>
  <si>
    <t>ks</t>
  </si>
  <si>
    <t>soupr.</t>
  </si>
  <si>
    <t>soup</t>
  </si>
  <si>
    <t>hod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</si>
  <si>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</si>
  <si>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</si>
  <si>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</si>
  <si>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</si>
  <si>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</si>
  <si>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</si>
  <si>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</si>
  <si>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</si>
  <si>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</si>
  <si>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</si>
  <si>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</si>
  <si>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Třebívlice</t>
  </si>
  <si>
    <t>Vladimír Kouba</t>
  </si>
  <si>
    <t>Celkem</t>
  </si>
  <si>
    <t>Hmotnost (t)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</si>
  <si>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</si>
  <si>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</si>
  <si>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</si>
  <si>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</si>
  <si>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</si>
  <si>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</si>
  <si>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</si>
  <si>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</si>
  <si>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</si>
  <si>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</si>
  <si>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</si>
  <si>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</si>
  <si>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</si>
  <si>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</si>
  <si>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</si>
  <si>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</si>
  <si>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</si>
  <si>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</si>
  <si>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</si>
  <si>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</si>
  <si>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</si>
  <si>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</si>
  <si>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</si>
  <si>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</si>
  <si>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</si>
  <si>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</si>
  <si>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</si>
  <si>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</si>
  <si>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</si>
  <si>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</si>
  <si>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</si>
  <si>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</si>
  <si>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</si>
  <si>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</si>
  <si>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</si>
  <si>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</si>
  <si>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</si>
  <si>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Mimostav. doprava</t>
  </si>
  <si>
    <t>Kompl. čin. dodav.</t>
  </si>
  <si>
    <t>Územní vlivy</t>
  </si>
  <si>
    <t>Provoz investora</t>
  </si>
  <si>
    <t>DN celkem</t>
  </si>
  <si>
    <t>Objednatel</t>
  </si>
  <si>
    <t>Doplňkové náklady</t>
  </si>
  <si>
    <t>C</t>
  </si>
  <si>
    <t>Zařízení staveniště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</si>
  <si>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</si>
  <si>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</si>
  <si>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</si>
  <si>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</si>
  <si>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</si>
  <si>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</si>
  <si>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</si>
  <si>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</si>
  <si>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</si>
  <si>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</si>
  <si>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</si>
  <si>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44534477/</t>
  </si>
  <si>
    <t>Zateplení a výměna topného zdroje obecního úřadu Třebívlice</t>
  </si>
  <si>
    <t>00264539</t>
  </si>
  <si>
    <t>Základ 21%</t>
  </si>
  <si>
    <t>DPH 21%</t>
  </si>
  <si>
    <t>Základ 15%</t>
  </si>
  <si>
    <t>DPH 15%</t>
  </si>
  <si>
    <r>
      <t xml:space="preserve">Krycí list rozpočtu                  </t>
    </r>
    <r>
      <rPr>
        <sz val="12"/>
        <color indexed="8"/>
        <rFont val="Arial"/>
        <family val="2"/>
      </rPr>
      <t>Příloha č. 5 ZD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</si>
</sst>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9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61"/>
      <c r="C2" s="61"/>
      <c r="D2" s="69" t="str">
        <f>'Krycí list rozpočtu'!$C$2</f>
        <v>Zateplení a výměna topného zdroje obecního úřadu Třebívlice</v>
      </c>
      <c r="E2" s="60" t="s">
        <v>481</v>
      </c>
      <c r="F2" s="61"/>
      <c r="G2" s="60"/>
      <c r="H2" s="61"/>
      <c r="I2" s="60" t="s">
        <v>502</v>
      </c>
      <c r="J2" s="60" t="s">
        <v>507</v>
      </c>
      <c r="K2" s="61"/>
      <c r="L2" s="62"/>
      <c r="M2" s="23"/>
    </row>
    <row r="3" spans="1:13" ht="12.75">
      <c r="A3" s="74"/>
      <c r="B3" s="63"/>
      <c r="C3" s="63"/>
      <c r="D3" s="70"/>
      <c r="E3" s="63"/>
      <c r="F3" s="63"/>
      <c r="G3" s="63"/>
      <c r="H3" s="63"/>
      <c r="I3" s="63"/>
      <c r="J3" s="63"/>
      <c r="K3" s="63"/>
      <c r="L3" s="64"/>
      <c r="M3" s="23"/>
    </row>
    <row r="4" spans="1:13" ht="12.75">
      <c r="A4" s="67" t="s">
        <v>2</v>
      </c>
      <c r="B4" s="63"/>
      <c r="C4" s="63"/>
      <c r="D4" s="58" t="s">
        <v>311</v>
      </c>
      <c r="E4" s="58" t="s">
        <v>482</v>
      </c>
      <c r="F4" s="63"/>
      <c r="G4" s="66"/>
      <c r="H4" s="63"/>
      <c r="I4" s="58" t="s">
        <v>503</v>
      </c>
      <c r="J4" s="58" t="s">
        <v>508</v>
      </c>
      <c r="K4" s="63"/>
      <c r="L4" s="64"/>
      <c r="M4" s="23"/>
    </row>
    <row r="5" spans="1:13" ht="12.75">
      <c r="A5" s="74"/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23"/>
    </row>
    <row r="6" spans="1:13" ht="12.75">
      <c r="A6" s="67" t="s">
        <v>3</v>
      </c>
      <c r="B6" s="63"/>
      <c r="C6" s="63"/>
      <c r="D6" s="58" t="s">
        <v>312</v>
      </c>
      <c r="E6" s="58" t="s">
        <v>483</v>
      </c>
      <c r="F6" s="63"/>
      <c r="G6" s="63"/>
      <c r="H6" s="63"/>
      <c r="I6" s="58" t="s">
        <v>504</v>
      </c>
      <c r="J6" s="58"/>
      <c r="K6" s="63"/>
      <c r="L6" s="64"/>
      <c r="M6" s="23"/>
    </row>
    <row r="7" spans="1:13" ht="12.75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23"/>
    </row>
    <row r="8" spans="1:13" ht="12.75">
      <c r="A8" s="67" t="s">
        <v>4</v>
      </c>
      <c r="B8" s="63"/>
      <c r="C8" s="63"/>
      <c r="D8" s="58" t="s">
        <v>313</v>
      </c>
      <c r="E8" s="58" t="s">
        <v>484</v>
      </c>
      <c r="F8" s="63"/>
      <c r="G8" s="66"/>
      <c r="H8" s="63"/>
      <c r="I8" s="58" t="s">
        <v>505</v>
      </c>
      <c r="J8" s="58" t="s">
        <v>508</v>
      </c>
      <c r="K8" s="63"/>
      <c r="L8" s="64"/>
      <c r="M8" s="23"/>
    </row>
    <row r="9" spans="1:13" ht="12.75">
      <c r="A9" s="68"/>
      <c r="B9" s="59"/>
      <c r="C9" s="59"/>
      <c r="D9" s="59"/>
      <c r="E9" s="59"/>
      <c r="F9" s="59"/>
      <c r="G9" s="59"/>
      <c r="H9" s="59"/>
      <c r="I9" s="59"/>
      <c r="J9" s="59"/>
      <c r="K9" s="59"/>
      <c r="L9" s="65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497</v>
      </c>
      <c r="H10" s="53" t="s">
        <v>499</v>
      </c>
      <c r="I10" s="54"/>
      <c r="J10" s="55"/>
      <c r="K10" s="53" t="s">
        <v>510</v>
      </c>
      <c r="L10" s="55"/>
      <c r="M10" s="24"/>
    </row>
    <row r="11" spans="1:24" ht="12.75">
      <c r="A11" s="2" t="s">
        <v>6</v>
      </c>
      <c r="B11" s="9" t="s">
        <v>151</v>
      </c>
      <c r="C11" s="9" t="s">
        <v>154</v>
      </c>
      <c r="D11" s="9" t="s">
        <v>314</v>
      </c>
      <c r="E11" s="9" t="s">
        <v>485</v>
      </c>
      <c r="F11" s="12" t="s">
        <v>496</v>
      </c>
      <c r="G11" s="16" t="s">
        <v>498</v>
      </c>
      <c r="H11" s="18" t="s">
        <v>500</v>
      </c>
      <c r="I11" s="19" t="s">
        <v>506</v>
      </c>
      <c r="J11" s="20" t="s">
        <v>509</v>
      </c>
      <c r="K11" s="18" t="s">
        <v>497</v>
      </c>
      <c r="L11" s="20" t="s">
        <v>509</v>
      </c>
      <c r="M11" s="24"/>
      <c r="P11" s="22" t="s">
        <v>512</v>
      </c>
      <c r="Q11" s="22" t="s">
        <v>513</v>
      </c>
      <c r="R11" s="22" t="s">
        <v>517</v>
      </c>
      <c r="S11" s="22" t="s">
        <v>518</v>
      </c>
      <c r="T11" s="22" t="s">
        <v>519</v>
      </c>
      <c r="U11" s="22" t="s">
        <v>520</v>
      </c>
      <c r="V11" s="22" t="s">
        <v>521</v>
      </c>
      <c r="W11" s="22" t="s">
        <v>522</v>
      </c>
      <c r="X11" s="22" t="s">
        <v>523</v>
      </c>
    </row>
    <row r="12" spans="1:12" ht="12.75">
      <c r="A12" s="3"/>
      <c r="B12" s="3"/>
      <c r="C12" s="10"/>
      <c r="D12" s="56" t="s">
        <v>315</v>
      </c>
      <c r="E12" s="57"/>
      <c r="F12" s="57"/>
      <c r="G12" s="57"/>
      <c r="H12" s="26">
        <f>H13+H15+H17+H20+H22+H24+H26+H31+H35+H42+H67+H79+H103+H120+H130+H132+H134+H136+H148</f>
        <v>0</v>
      </c>
      <c r="I12" s="26">
        <f>I13+I15+I17+I20+I22+I24+I26+I31+I35+I42+I67+I79+I103+I120+I130+I132+I134+I136+I148</f>
        <v>0</v>
      </c>
      <c r="J12" s="26">
        <f>H12+I12</f>
        <v>0</v>
      </c>
      <c r="K12" s="21"/>
      <c r="L12" s="26">
        <f>L13+L15+L17+L20+L22+L24+L26+L31+L35+L42+L67+L79+L103+L120+L130+L132+L134+L136+L148</f>
        <v>9.952138999999999</v>
      </c>
    </row>
    <row r="13" spans="1:37" ht="12.75">
      <c r="A13" s="4"/>
      <c r="B13" s="4"/>
      <c r="C13" s="11" t="s">
        <v>18</v>
      </c>
      <c r="D13" s="49" t="s">
        <v>316</v>
      </c>
      <c r="E13" s="50"/>
      <c r="F13" s="50"/>
      <c r="G13" s="50"/>
      <c r="H13" s="27">
        <f>SUM(H14:H14)</f>
        <v>0</v>
      </c>
      <c r="I13" s="27">
        <f>SUM(I14:I14)</f>
        <v>0</v>
      </c>
      <c r="J13" s="27">
        <f>H13+I13</f>
        <v>0</v>
      </c>
      <c r="K13" s="22"/>
      <c r="L13" s="27">
        <f>SUM(L14:L14)</f>
        <v>0</v>
      </c>
      <c r="P13" s="27">
        <f>IF(Q13="PR",J13,SUM(O14:O14))</f>
        <v>0</v>
      </c>
      <c r="Q13" s="22" t="s">
        <v>514</v>
      </c>
      <c r="R13" s="27">
        <f>IF(Q13="HS",H13,0)</f>
        <v>0</v>
      </c>
      <c r="S13" s="27">
        <f>IF(Q13="HS",I13-P13,0)</f>
        <v>0</v>
      </c>
      <c r="T13" s="27">
        <f>IF(Q13="PS",H13,0)</f>
        <v>0</v>
      </c>
      <c r="U13" s="27">
        <f>IF(Q13="PS",I13-P13,0)</f>
        <v>0</v>
      </c>
      <c r="V13" s="27">
        <f>IF(Q13="MP",H13,0)</f>
        <v>0</v>
      </c>
      <c r="W13" s="27">
        <f>IF(Q13="MP",I13-P13,0)</f>
        <v>0</v>
      </c>
      <c r="X13" s="27">
        <f>IF(Q13="OM",H13,0)</f>
        <v>0</v>
      </c>
      <c r="Y13" s="22" t="s">
        <v>152</v>
      </c>
      <c r="AI13" s="27">
        <f>SUM(Z14:Z14)</f>
        <v>0</v>
      </c>
      <c r="AJ13" s="27">
        <f>SUM(AA14:AA14)</f>
        <v>0</v>
      </c>
      <c r="AK13" s="27">
        <f>SUM(AB14:AB14)</f>
        <v>0</v>
      </c>
    </row>
    <row r="14" spans="1:32" ht="12.75">
      <c r="A14" s="5" t="s">
        <v>7</v>
      </c>
      <c r="B14" s="5" t="s">
        <v>152</v>
      </c>
      <c r="C14" s="5" t="s">
        <v>155</v>
      </c>
      <c r="D14" s="5" t="s">
        <v>317</v>
      </c>
      <c r="E14" s="5" t="s">
        <v>486</v>
      </c>
      <c r="F14" s="13">
        <v>0.05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5" t="s">
        <v>7</v>
      </c>
      <c r="O14" s="13">
        <f>IF(N14="5",I14,0)</f>
        <v>0</v>
      </c>
      <c r="Z14" s="13">
        <f>IF(AD14=0,J14,0)</f>
        <v>0</v>
      </c>
      <c r="AA14" s="13">
        <f>IF(AD14=10,J14,0)</f>
        <v>0</v>
      </c>
      <c r="AB14" s="13">
        <f>IF(AD14=20,J14,0)</f>
        <v>0</v>
      </c>
      <c r="AD14" s="13">
        <v>20</v>
      </c>
      <c r="AE14" s="13">
        <f>G14*0</f>
        <v>0</v>
      </c>
      <c r="AF14" s="13">
        <f>G14*(1-0)</f>
        <v>0</v>
      </c>
    </row>
    <row r="15" spans="1:37" ht="12.75">
      <c r="A15" s="4"/>
      <c r="B15" s="4"/>
      <c r="C15" s="11" t="s">
        <v>19</v>
      </c>
      <c r="D15" s="49" t="s">
        <v>318</v>
      </c>
      <c r="E15" s="50"/>
      <c r="F15" s="50"/>
      <c r="G15" s="50"/>
      <c r="H15" s="27">
        <f>SUM(H16:H16)</f>
        <v>0</v>
      </c>
      <c r="I15" s="27">
        <f>SUM(I16:I16)</f>
        <v>0</v>
      </c>
      <c r="J15" s="27">
        <f>H15+I15</f>
        <v>0</v>
      </c>
      <c r="K15" s="22"/>
      <c r="L15" s="27">
        <f>SUM(L16:L16)</f>
        <v>0</v>
      </c>
      <c r="P15" s="27">
        <f>IF(Q15="PR",J15,SUM(O16:O16))</f>
        <v>0</v>
      </c>
      <c r="Q15" s="22" t="s">
        <v>514</v>
      </c>
      <c r="R15" s="27">
        <f>IF(Q15="HS",H15,0)</f>
        <v>0</v>
      </c>
      <c r="S15" s="27">
        <f>IF(Q15="HS",I15-P15,0)</f>
        <v>0</v>
      </c>
      <c r="T15" s="27">
        <f>IF(Q15="PS",H15,0)</f>
        <v>0</v>
      </c>
      <c r="U15" s="27">
        <f>IF(Q15="PS",I15-P15,0)</f>
        <v>0</v>
      </c>
      <c r="V15" s="27">
        <f>IF(Q15="MP",H15,0)</f>
        <v>0</v>
      </c>
      <c r="W15" s="27">
        <f>IF(Q15="MP",I15-P15,0)</f>
        <v>0</v>
      </c>
      <c r="X15" s="27">
        <f>IF(Q15="OM",H15,0)</f>
        <v>0</v>
      </c>
      <c r="Y15" s="22" t="s">
        <v>152</v>
      </c>
      <c r="AI15" s="27">
        <f>SUM(Z16:Z16)</f>
        <v>0</v>
      </c>
      <c r="AJ15" s="27">
        <f>SUM(AA16:AA16)</f>
        <v>0</v>
      </c>
      <c r="AK15" s="27">
        <f>SUM(AB16:AB16)</f>
        <v>0</v>
      </c>
    </row>
    <row r="16" spans="1:32" ht="12.75">
      <c r="A16" s="5" t="s">
        <v>8</v>
      </c>
      <c r="B16" s="5" t="s">
        <v>152</v>
      </c>
      <c r="C16" s="5" t="s">
        <v>156</v>
      </c>
      <c r="D16" s="5" t="s">
        <v>319</v>
      </c>
      <c r="E16" s="5" t="s">
        <v>486</v>
      </c>
      <c r="F16" s="13">
        <v>0.22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5" t="s">
        <v>7</v>
      </c>
      <c r="O16" s="13">
        <f>IF(N16="5",I16,0)</f>
        <v>0</v>
      </c>
      <c r="Z16" s="13">
        <f>IF(AD16=0,J16,0)</f>
        <v>0</v>
      </c>
      <c r="AA16" s="13">
        <f>IF(AD16=10,J16,0)</f>
        <v>0</v>
      </c>
      <c r="AB16" s="13">
        <f>IF(AD16=20,J16,0)</f>
        <v>0</v>
      </c>
      <c r="AD16" s="13">
        <v>20</v>
      </c>
      <c r="AE16" s="13">
        <f>G16*0</f>
        <v>0</v>
      </c>
      <c r="AF16" s="13">
        <f>G16*(1-0)</f>
        <v>0</v>
      </c>
    </row>
    <row r="17" spans="1:37" ht="12.75">
      <c r="A17" s="4"/>
      <c r="B17" s="4"/>
      <c r="C17" s="11" t="s">
        <v>22</v>
      </c>
      <c r="D17" s="49" t="s">
        <v>320</v>
      </c>
      <c r="E17" s="50"/>
      <c r="F17" s="50"/>
      <c r="G17" s="50"/>
      <c r="H17" s="27">
        <f>SUM(H18:H19)</f>
        <v>0</v>
      </c>
      <c r="I17" s="27">
        <f>SUM(I18:I19)</f>
        <v>0</v>
      </c>
      <c r="J17" s="27">
        <f>H17+I17</f>
        <v>0</v>
      </c>
      <c r="K17" s="22"/>
      <c r="L17" s="27">
        <f>SUM(L18:L19)</f>
        <v>0</v>
      </c>
      <c r="P17" s="27">
        <f>IF(Q17="PR",J17,SUM(O18:O19))</f>
        <v>0</v>
      </c>
      <c r="Q17" s="22" t="s">
        <v>514</v>
      </c>
      <c r="R17" s="27">
        <f>IF(Q17="HS",H17,0)</f>
        <v>0</v>
      </c>
      <c r="S17" s="27">
        <f>IF(Q17="HS",I17-P17,0)</f>
        <v>0</v>
      </c>
      <c r="T17" s="27">
        <f>IF(Q17="PS",H17,0)</f>
        <v>0</v>
      </c>
      <c r="U17" s="27">
        <f>IF(Q17="PS",I17-P17,0)</f>
        <v>0</v>
      </c>
      <c r="V17" s="27">
        <f>IF(Q17="MP",H17,0)</f>
        <v>0</v>
      </c>
      <c r="W17" s="27">
        <f>IF(Q17="MP",I17-P17,0)</f>
        <v>0</v>
      </c>
      <c r="X17" s="27">
        <f>IF(Q17="OM",H17,0)</f>
        <v>0</v>
      </c>
      <c r="Y17" s="22" t="s">
        <v>152</v>
      </c>
      <c r="AI17" s="27">
        <f>SUM(Z18:Z19)</f>
        <v>0</v>
      </c>
      <c r="AJ17" s="27">
        <f>SUM(AA18:AA19)</f>
        <v>0</v>
      </c>
      <c r="AK17" s="27">
        <f>SUM(AB18:AB19)</f>
        <v>0</v>
      </c>
    </row>
    <row r="18" spans="1:32" ht="12.75">
      <c r="A18" s="5" t="s">
        <v>9</v>
      </c>
      <c r="B18" s="5" t="s">
        <v>152</v>
      </c>
      <c r="C18" s="5" t="s">
        <v>157</v>
      </c>
      <c r="D18" s="5" t="s">
        <v>321</v>
      </c>
      <c r="E18" s="5" t="s">
        <v>486</v>
      </c>
      <c r="F18" s="13">
        <v>0.22</v>
      </c>
      <c r="H18" s="13">
        <f>ROUND(F18*AE18,2)</f>
        <v>0</v>
      </c>
      <c r="I18" s="13">
        <f>J18-H18</f>
        <v>0</v>
      </c>
      <c r="J18" s="13">
        <f>ROUND(F18*G18,2)</f>
        <v>0</v>
      </c>
      <c r="K18" s="13">
        <v>0</v>
      </c>
      <c r="L18" s="13">
        <f>F18*K18</f>
        <v>0</v>
      </c>
      <c r="N18" s="25" t="s">
        <v>7</v>
      </c>
      <c r="O18" s="13">
        <f>IF(N18="5",I18,0)</f>
        <v>0</v>
      </c>
      <c r="Z18" s="13">
        <f>IF(AD18=0,J18,0)</f>
        <v>0</v>
      </c>
      <c r="AA18" s="13">
        <f>IF(AD18=10,J18,0)</f>
        <v>0</v>
      </c>
      <c r="AB18" s="13">
        <f>IF(AD18=20,J18,0)</f>
        <v>0</v>
      </c>
      <c r="AD18" s="13">
        <v>20</v>
      </c>
      <c r="AE18" s="13">
        <f>G18*0</f>
        <v>0</v>
      </c>
      <c r="AF18" s="13">
        <f>G18*(1-0)</f>
        <v>0</v>
      </c>
    </row>
    <row r="19" spans="1:32" ht="12.75">
      <c r="A19" s="5" t="s">
        <v>10</v>
      </c>
      <c r="B19" s="5" t="s">
        <v>152</v>
      </c>
      <c r="C19" s="5" t="s">
        <v>158</v>
      </c>
      <c r="D19" s="5" t="s">
        <v>322</v>
      </c>
      <c r="E19" s="5" t="s">
        <v>486</v>
      </c>
      <c r="F19" s="13">
        <v>0.43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5" t="s">
        <v>7</v>
      </c>
      <c r="O19" s="13">
        <f>IF(N19="5",I19,0)</f>
        <v>0</v>
      </c>
      <c r="Z19" s="13">
        <f>IF(AD19=0,J19,0)</f>
        <v>0</v>
      </c>
      <c r="AA19" s="13">
        <f>IF(AD19=10,J19,0)</f>
        <v>0</v>
      </c>
      <c r="AB19" s="13">
        <f>IF(AD19=20,J19,0)</f>
        <v>0</v>
      </c>
      <c r="AD19" s="13">
        <v>20</v>
      </c>
      <c r="AE19" s="13">
        <f>G19*0</f>
        <v>0</v>
      </c>
      <c r="AF19" s="13">
        <f>G19*(1-0)</f>
        <v>0</v>
      </c>
    </row>
    <row r="20" spans="1:37" ht="12.75">
      <c r="A20" s="4"/>
      <c r="B20" s="4"/>
      <c r="C20" s="11" t="s">
        <v>23</v>
      </c>
      <c r="D20" s="49" t="s">
        <v>323</v>
      </c>
      <c r="E20" s="50"/>
      <c r="F20" s="50"/>
      <c r="G20" s="50"/>
      <c r="H20" s="27">
        <f>SUM(H21:H21)</f>
        <v>0</v>
      </c>
      <c r="I20" s="27">
        <f>SUM(I21:I21)</f>
        <v>0</v>
      </c>
      <c r="J20" s="27">
        <f>H20+I20</f>
        <v>0</v>
      </c>
      <c r="K20" s="22"/>
      <c r="L20" s="27">
        <f>SUM(L21:L21)</f>
        <v>0</v>
      </c>
      <c r="P20" s="27">
        <f>IF(Q20="PR",J20,SUM(O21:O21))</f>
        <v>0</v>
      </c>
      <c r="Q20" s="22" t="s">
        <v>514</v>
      </c>
      <c r="R20" s="27">
        <f>IF(Q20="HS",H20,0)</f>
        <v>0</v>
      </c>
      <c r="S20" s="27">
        <f>IF(Q20="HS",I20-P20,0)</f>
        <v>0</v>
      </c>
      <c r="T20" s="27">
        <f>IF(Q20="PS",H20,0)</f>
        <v>0</v>
      </c>
      <c r="U20" s="27">
        <f>IF(Q20="PS",I20-P20,0)</f>
        <v>0</v>
      </c>
      <c r="V20" s="27">
        <f>IF(Q20="MP",H20,0)</f>
        <v>0</v>
      </c>
      <c r="W20" s="27">
        <f>IF(Q20="MP",I20-P20,0)</f>
        <v>0</v>
      </c>
      <c r="X20" s="27">
        <f>IF(Q20="OM",H20,0)</f>
        <v>0</v>
      </c>
      <c r="Y20" s="22" t="s">
        <v>152</v>
      </c>
      <c r="AI20" s="27">
        <f>SUM(Z21:Z21)</f>
        <v>0</v>
      </c>
      <c r="AJ20" s="27">
        <f>SUM(AA21:AA21)</f>
        <v>0</v>
      </c>
      <c r="AK20" s="27">
        <f>SUM(AB21:AB21)</f>
        <v>0</v>
      </c>
    </row>
    <row r="21" spans="1:32" ht="12.75">
      <c r="A21" s="5" t="s">
        <v>11</v>
      </c>
      <c r="B21" s="5" t="s">
        <v>152</v>
      </c>
      <c r="C21" s="5" t="s">
        <v>159</v>
      </c>
      <c r="D21" s="5" t="s">
        <v>324</v>
      </c>
      <c r="E21" s="5" t="s">
        <v>486</v>
      </c>
      <c r="F21" s="13">
        <v>0.22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</v>
      </c>
      <c r="L21" s="13">
        <f>F21*K21</f>
        <v>0</v>
      </c>
      <c r="N21" s="25" t="s">
        <v>7</v>
      </c>
      <c r="O21" s="13">
        <f>IF(N21="5",I21,0)</f>
        <v>0</v>
      </c>
      <c r="Z21" s="13">
        <f>IF(AD21=0,J21,0)</f>
        <v>0</v>
      </c>
      <c r="AA21" s="13">
        <f>IF(AD21=10,J21,0)</f>
        <v>0</v>
      </c>
      <c r="AB21" s="13">
        <f>IF(AD21=20,J21,0)</f>
        <v>0</v>
      </c>
      <c r="AD21" s="13">
        <v>20</v>
      </c>
      <c r="AE21" s="13">
        <f>G21*0</f>
        <v>0</v>
      </c>
      <c r="AF21" s="13">
        <f>G21*(1-0)</f>
        <v>0</v>
      </c>
    </row>
    <row r="22" spans="1:37" ht="12.75">
      <c r="A22" s="4"/>
      <c r="B22" s="4"/>
      <c r="C22" s="11" t="s">
        <v>62</v>
      </c>
      <c r="D22" s="49" t="s">
        <v>325</v>
      </c>
      <c r="E22" s="50"/>
      <c r="F22" s="50"/>
      <c r="G22" s="50"/>
      <c r="H22" s="27">
        <f>SUM(H23:H23)</f>
        <v>0</v>
      </c>
      <c r="I22" s="27">
        <f>SUM(I23:I23)</f>
        <v>0</v>
      </c>
      <c r="J22" s="27">
        <f>H22+I22</f>
        <v>0</v>
      </c>
      <c r="K22" s="22"/>
      <c r="L22" s="27">
        <f>SUM(L23:L23)</f>
        <v>0.0673872</v>
      </c>
      <c r="P22" s="27">
        <f>IF(Q22="PR",J22,SUM(O23:O23))</f>
        <v>0</v>
      </c>
      <c r="Q22" s="22" t="s">
        <v>514</v>
      </c>
      <c r="R22" s="27">
        <f>IF(Q22="HS",H22,0)</f>
        <v>0</v>
      </c>
      <c r="S22" s="27">
        <f>IF(Q22="HS",I22-P22,0)</f>
        <v>0</v>
      </c>
      <c r="T22" s="27">
        <f>IF(Q22="PS",H22,0)</f>
        <v>0</v>
      </c>
      <c r="U22" s="27">
        <f>IF(Q22="PS",I22-P22,0)</f>
        <v>0</v>
      </c>
      <c r="V22" s="27">
        <f>IF(Q22="MP",H22,0)</f>
        <v>0</v>
      </c>
      <c r="W22" s="27">
        <f>IF(Q22="MP",I22-P22,0)</f>
        <v>0</v>
      </c>
      <c r="X22" s="27">
        <f>IF(Q22="OM",H22,0)</f>
        <v>0</v>
      </c>
      <c r="Y22" s="22" t="s">
        <v>152</v>
      </c>
      <c r="AI22" s="27">
        <f>SUM(Z23:Z23)</f>
        <v>0</v>
      </c>
      <c r="AJ22" s="27">
        <f>SUM(AA23:AA23)</f>
        <v>0</v>
      </c>
      <c r="AK22" s="27">
        <f>SUM(AB23:AB23)</f>
        <v>0</v>
      </c>
    </row>
    <row r="23" spans="1:32" ht="12.75">
      <c r="A23" s="5" t="s">
        <v>12</v>
      </c>
      <c r="B23" s="5" t="s">
        <v>152</v>
      </c>
      <c r="C23" s="5" t="s">
        <v>160</v>
      </c>
      <c r="D23" s="5" t="s">
        <v>326</v>
      </c>
      <c r="E23" s="5" t="s">
        <v>487</v>
      </c>
      <c r="F23" s="13">
        <v>0.606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0.1112</v>
      </c>
      <c r="L23" s="13">
        <f>F23*K23</f>
        <v>0.0673872</v>
      </c>
      <c r="N23" s="25" t="s">
        <v>7</v>
      </c>
      <c r="O23" s="13">
        <f>IF(N23="5",I23,0)</f>
        <v>0</v>
      </c>
      <c r="Z23" s="13">
        <f>IF(AD23=0,J23,0)</f>
        <v>0</v>
      </c>
      <c r="AA23" s="13">
        <f>IF(AD23=10,J23,0)</f>
        <v>0</v>
      </c>
      <c r="AB23" s="13">
        <f>IF(AD23=20,J23,0)</f>
        <v>0</v>
      </c>
      <c r="AD23" s="13">
        <v>20</v>
      </c>
      <c r="AE23" s="13">
        <f>G23*0.806382523024202</f>
        <v>0</v>
      </c>
      <c r="AF23" s="13">
        <f>G23*(1-0.806382523024202)</f>
        <v>0</v>
      </c>
    </row>
    <row r="24" spans="1:37" ht="12.75">
      <c r="A24" s="4"/>
      <c r="B24" s="4"/>
      <c r="C24" s="11" t="s">
        <v>64</v>
      </c>
      <c r="D24" s="49" t="s">
        <v>327</v>
      </c>
      <c r="E24" s="50"/>
      <c r="F24" s="50"/>
      <c r="G24" s="50"/>
      <c r="H24" s="27">
        <f>SUM(H25:H25)</f>
        <v>0</v>
      </c>
      <c r="I24" s="27">
        <f>SUM(I25:I25)</f>
        <v>0</v>
      </c>
      <c r="J24" s="27">
        <f>H24+I24</f>
        <v>0</v>
      </c>
      <c r="K24" s="22"/>
      <c r="L24" s="27">
        <f>SUM(L25:L25)</f>
        <v>0.09017279999999998</v>
      </c>
      <c r="P24" s="27">
        <f>IF(Q24="PR",J24,SUM(O25:O25))</f>
        <v>0</v>
      </c>
      <c r="Q24" s="22" t="s">
        <v>514</v>
      </c>
      <c r="R24" s="27">
        <f>IF(Q24="HS",H24,0)</f>
        <v>0</v>
      </c>
      <c r="S24" s="27">
        <f>IF(Q24="HS",I24-P24,0)</f>
        <v>0</v>
      </c>
      <c r="T24" s="27">
        <f>IF(Q24="PS",H24,0)</f>
        <v>0</v>
      </c>
      <c r="U24" s="27">
        <f>IF(Q24="PS",I24-P24,0)</f>
        <v>0</v>
      </c>
      <c r="V24" s="27">
        <f>IF(Q24="MP",H24,0)</f>
        <v>0</v>
      </c>
      <c r="W24" s="27">
        <f>IF(Q24="MP",I24-P24,0)</f>
        <v>0</v>
      </c>
      <c r="X24" s="27">
        <f>IF(Q24="OM",H24,0)</f>
        <v>0</v>
      </c>
      <c r="Y24" s="22" t="s">
        <v>152</v>
      </c>
      <c r="AI24" s="27">
        <f>SUM(Z25:Z25)</f>
        <v>0</v>
      </c>
      <c r="AJ24" s="27">
        <f>SUM(AA25:AA25)</f>
        <v>0</v>
      </c>
      <c r="AK24" s="27">
        <f>SUM(AB25:AB25)</f>
        <v>0</v>
      </c>
    </row>
    <row r="25" spans="1:32" ht="12.75">
      <c r="A25" s="5" t="s">
        <v>13</v>
      </c>
      <c r="B25" s="5" t="s">
        <v>152</v>
      </c>
      <c r="C25" s="5" t="s">
        <v>161</v>
      </c>
      <c r="D25" s="5" t="s">
        <v>328</v>
      </c>
      <c r="E25" s="5" t="s">
        <v>487</v>
      </c>
      <c r="F25" s="13">
        <v>0.36</v>
      </c>
      <c r="H25" s="13">
        <f>ROUND(F25*AE25,2)</f>
        <v>0</v>
      </c>
      <c r="I25" s="13">
        <f>J25-H25</f>
        <v>0</v>
      </c>
      <c r="J25" s="13">
        <f>ROUND(F25*G25,2)</f>
        <v>0</v>
      </c>
      <c r="K25" s="13">
        <v>0.25048</v>
      </c>
      <c r="L25" s="13">
        <f>F25*K25</f>
        <v>0.09017279999999998</v>
      </c>
      <c r="N25" s="25" t="s">
        <v>7</v>
      </c>
      <c r="O25" s="13">
        <f>IF(N25="5",I25,0)</f>
        <v>0</v>
      </c>
      <c r="Z25" s="13">
        <f>IF(AD25=0,J25,0)</f>
        <v>0</v>
      </c>
      <c r="AA25" s="13">
        <f>IF(AD25=10,J25,0)</f>
        <v>0</v>
      </c>
      <c r="AB25" s="13">
        <f>IF(AD25=20,J25,0)</f>
        <v>0</v>
      </c>
      <c r="AD25" s="13">
        <v>20</v>
      </c>
      <c r="AE25" s="13">
        <f>G25*0.71980664102045</f>
        <v>0</v>
      </c>
      <c r="AF25" s="13">
        <f>G25*(1-0.71980664102045)</f>
        <v>0</v>
      </c>
    </row>
    <row r="26" spans="1:37" ht="12.75">
      <c r="A26" s="4"/>
      <c r="B26" s="4"/>
      <c r="C26" s="11" t="s">
        <v>67</v>
      </c>
      <c r="D26" s="49" t="s">
        <v>329</v>
      </c>
      <c r="E26" s="50"/>
      <c r="F26" s="50"/>
      <c r="G26" s="50"/>
      <c r="H26" s="27">
        <f>SUM(H27:H30)</f>
        <v>0</v>
      </c>
      <c r="I26" s="27">
        <f>SUM(I27:I30)</f>
        <v>0</v>
      </c>
      <c r="J26" s="27">
        <f>H26+I26</f>
        <v>0</v>
      </c>
      <c r="K26" s="22"/>
      <c r="L26" s="27">
        <f>SUM(L27:L30)</f>
        <v>3.6744106000000003</v>
      </c>
      <c r="P26" s="27">
        <f>IF(Q26="PR",J26,SUM(O27:O30))</f>
        <v>0</v>
      </c>
      <c r="Q26" s="22" t="s">
        <v>514</v>
      </c>
      <c r="R26" s="27">
        <f>IF(Q26="HS",H26,0)</f>
        <v>0</v>
      </c>
      <c r="S26" s="27">
        <f>IF(Q26="HS",I26-P26,0)</f>
        <v>0</v>
      </c>
      <c r="T26" s="27">
        <f>IF(Q26="PS",H26,0)</f>
        <v>0</v>
      </c>
      <c r="U26" s="27">
        <f>IF(Q26="PS",I26-P26,0)</f>
        <v>0</v>
      </c>
      <c r="V26" s="27">
        <f>IF(Q26="MP",H26,0)</f>
        <v>0</v>
      </c>
      <c r="W26" s="27">
        <f>IF(Q26="MP",I26-P26,0)</f>
        <v>0</v>
      </c>
      <c r="X26" s="27">
        <f>IF(Q26="OM",H26,0)</f>
        <v>0</v>
      </c>
      <c r="Y26" s="22" t="s">
        <v>152</v>
      </c>
      <c r="AI26" s="27">
        <f>SUM(Z27:Z30)</f>
        <v>0</v>
      </c>
      <c r="AJ26" s="27">
        <f>SUM(AA27:AA30)</f>
        <v>0</v>
      </c>
      <c r="AK26" s="27">
        <f>SUM(AB27:AB30)</f>
        <v>0</v>
      </c>
    </row>
    <row r="27" spans="1:32" ht="12.75">
      <c r="A27" s="5" t="s">
        <v>14</v>
      </c>
      <c r="B27" s="5" t="s">
        <v>152</v>
      </c>
      <c r="C27" s="5" t="s">
        <v>162</v>
      </c>
      <c r="D27" s="5" t="s">
        <v>330</v>
      </c>
      <c r="E27" s="5" t="s">
        <v>487</v>
      </c>
      <c r="F27" s="13">
        <v>32.6</v>
      </c>
      <c r="H27" s="13">
        <f>ROUND(F27*AE27,2)</f>
        <v>0</v>
      </c>
      <c r="I27" s="13">
        <f>J27-H27</f>
        <v>0</v>
      </c>
      <c r="J27" s="13">
        <f>ROUND(F27*G27,2)</f>
        <v>0</v>
      </c>
      <c r="K27" s="13">
        <v>0.064</v>
      </c>
      <c r="L27" s="13">
        <f>F27*K27</f>
        <v>2.0864000000000003</v>
      </c>
      <c r="N27" s="25" t="s">
        <v>7</v>
      </c>
      <c r="O27" s="13">
        <f>IF(N27="5",I27,0)</f>
        <v>0</v>
      </c>
      <c r="Z27" s="13">
        <f>IF(AD27=0,J27,0)</f>
        <v>0</v>
      </c>
      <c r="AA27" s="13">
        <f>IF(AD27=10,J27,0)</f>
        <v>0</v>
      </c>
      <c r="AB27" s="13">
        <f>IF(AD27=20,J27,0)</f>
        <v>0</v>
      </c>
      <c r="AD27" s="13">
        <v>20</v>
      </c>
      <c r="AE27" s="13">
        <f>G27*0.519681435371659</f>
        <v>0</v>
      </c>
      <c r="AF27" s="13">
        <f>G27*(1-0.519681435371659)</f>
        <v>0</v>
      </c>
    </row>
    <row r="28" spans="1:32" ht="12.75">
      <c r="A28" s="5" t="s">
        <v>15</v>
      </c>
      <c r="B28" s="5" t="s">
        <v>152</v>
      </c>
      <c r="C28" s="5" t="s">
        <v>163</v>
      </c>
      <c r="D28" s="5" t="s">
        <v>331</v>
      </c>
      <c r="E28" s="5" t="s">
        <v>487</v>
      </c>
      <c r="F28" s="13">
        <v>48.9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0.03225</v>
      </c>
      <c r="L28" s="13">
        <f>F28*K28</f>
        <v>1.577025</v>
      </c>
      <c r="N28" s="25" t="s">
        <v>7</v>
      </c>
      <c r="O28" s="13">
        <f>IF(N28="5",I28,0)</f>
        <v>0</v>
      </c>
      <c r="Z28" s="13">
        <f>IF(AD28=0,J28,0)</f>
        <v>0</v>
      </c>
      <c r="AA28" s="13">
        <f>IF(AD28=10,J28,0)</f>
        <v>0</v>
      </c>
      <c r="AB28" s="13">
        <f>IF(AD28=20,J28,0)</f>
        <v>0</v>
      </c>
      <c r="AD28" s="13">
        <v>20</v>
      </c>
      <c r="AE28" s="13">
        <f>G28*0.23097505729008</f>
        <v>0</v>
      </c>
      <c r="AF28" s="13">
        <f>G28*(1-0.23097505729008)</f>
        <v>0</v>
      </c>
    </row>
    <row r="29" spans="1:32" ht="12.75">
      <c r="A29" s="5" t="s">
        <v>16</v>
      </c>
      <c r="B29" s="5" t="s">
        <v>152</v>
      </c>
      <c r="C29" s="5" t="s">
        <v>164</v>
      </c>
      <c r="D29" s="5" t="s">
        <v>332</v>
      </c>
      <c r="E29" s="5" t="s">
        <v>487</v>
      </c>
      <c r="F29" s="13">
        <v>0.32</v>
      </c>
      <c r="H29" s="13">
        <f>ROUND(F29*AE29,2)</f>
        <v>0</v>
      </c>
      <c r="I29" s="13">
        <f>J29-H29</f>
        <v>0</v>
      </c>
      <c r="J29" s="13">
        <f>ROUND(F29*G29,2)</f>
        <v>0</v>
      </c>
      <c r="K29" s="13">
        <v>0.03433</v>
      </c>
      <c r="L29" s="13">
        <f>F29*K29</f>
        <v>0.0109856</v>
      </c>
      <c r="N29" s="25" t="s">
        <v>7</v>
      </c>
      <c r="O29" s="13">
        <f>IF(N29="5",I29,0)</f>
        <v>0</v>
      </c>
      <c r="Z29" s="13">
        <f>IF(AD29=0,J29,0)</f>
        <v>0</v>
      </c>
      <c r="AA29" s="13">
        <f>IF(AD29=10,J29,0)</f>
        <v>0</v>
      </c>
      <c r="AB29" s="13">
        <f>IF(AD29=20,J29,0)</f>
        <v>0</v>
      </c>
      <c r="AD29" s="13">
        <v>20</v>
      </c>
      <c r="AE29" s="13">
        <f>G29*0.440872638303656</f>
        <v>0</v>
      </c>
      <c r="AF29" s="13">
        <f>G29*(1-0.440872638303656)</f>
        <v>0</v>
      </c>
    </row>
    <row r="30" spans="1:32" ht="12.75">
      <c r="A30" s="5" t="s">
        <v>17</v>
      </c>
      <c r="B30" s="5" t="s">
        <v>152</v>
      </c>
      <c r="C30" s="5" t="s">
        <v>165</v>
      </c>
      <c r="D30" s="5" t="s">
        <v>333</v>
      </c>
      <c r="E30" s="5" t="s">
        <v>488</v>
      </c>
      <c r="F30" s="13">
        <v>3.67441</v>
      </c>
      <c r="H30" s="13">
        <f>ROUND(F30*AE30,2)</f>
        <v>0</v>
      </c>
      <c r="I30" s="13">
        <f>J30-H30</f>
        <v>0</v>
      </c>
      <c r="J30" s="13">
        <f>ROUND(F30*G30,2)</f>
        <v>0</v>
      </c>
      <c r="K30" s="13">
        <v>0</v>
      </c>
      <c r="L30" s="13">
        <f>F30*K30</f>
        <v>0</v>
      </c>
      <c r="N30" s="25" t="s">
        <v>11</v>
      </c>
      <c r="O30" s="13">
        <f>IF(N30="5",I30,0)</f>
        <v>0</v>
      </c>
      <c r="Z30" s="13">
        <f>IF(AD30=0,J30,0)</f>
        <v>0</v>
      </c>
      <c r="AA30" s="13">
        <f>IF(AD30=10,J30,0)</f>
        <v>0</v>
      </c>
      <c r="AB30" s="13">
        <f>IF(AD30=20,J30,0)</f>
        <v>0</v>
      </c>
      <c r="AD30" s="13">
        <v>20</v>
      </c>
      <c r="AE30" s="13">
        <f>G30*0</f>
        <v>0</v>
      </c>
      <c r="AF30" s="13">
        <f>G30*(1-0)</f>
        <v>0</v>
      </c>
    </row>
    <row r="31" spans="1:37" ht="12.75">
      <c r="A31" s="4"/>
      <c r="B31" s="4"/>
      <c r="C31" s="11" t="s">
        <v>166</v>
      </c>
      <c r="D31" s="49" t="s">
        <v>334</v>
      </c>
      <c r="E31" s="50"/>
      <c r="F31" s="50"/>
      <c r="G31" s="50"/>
      <c r="H31" s="27">
        <f>SUM(H32:H34)</f>
        <v>0</v>
      </c>
      <c r="I31" s="27">
        <f>SUM(I32:I34)</f>
        <v>0</v>
      </c>
      <c r="J31" s="27">
        <f>H31+I31</f>
        <v>0</v>
      </c>
      <c r="K31" s="22"/>
      <c r="L31" s="27">
        <f>SUM(L32:L34)</f>
        <v>0.0001</v>
      </c>
      <c r="P31" s="27">
        <f>IF(Q31="PR",J31,SUM(O32:O34))</f>
        <v>0</v>
      </c>
      <c r="Q31" s="22" t="s">
        <v>515</v>
      </c>
      <c r="R31" s="27">
        <f>IF(Q31="HS",H31,0)</f>
        <v>0</v>
      </c>
      <c r="S31" s="27">
        <f>IF(Q31="HS",I31-P31,0)</f>
        <v>0</v>
      </c>
      <c r="T31" s="27">
        <f>IF(Q31="PS",H31,0)</f>
        <v>0</v>
      </c>
      <c r="U31" s="27">
        <f>IF(Q31="PS",I31-P31,0)</f>
        <v>0</v>
      </c>
      <c r="V31" s="27">
        <f>IF(Q31="MP",H31,0)</f>
        <v>0</v>
      </c>
      <c r="W31" s="27">
        <f>IF(Q31="MP",I31-P31,0)</f>
        <v>0</v>
      </c>
      <c r="X31" s="27">
        <f>IF(Q31="OM",H31,0)</f>
        <v>0</v>
      </c>
      <c r="Y31" s="22" t="s">
        <v>152</v>
      </c>
      <c r="AI31" s="27">
        <f>SUM(Z32:Z34)</f>
        <v>0</v>
      </c>
      <c r="AJ31" s="27">
        <f>SUM(AA32:AA34)</f>
        <v>0</v>
      </c>
      <c r="AK31" s="27">
        <f>SUM(AB32:AB34)</f>
        <v>0</v>
      </c>
    </row>
    <row r="32" spans="1:32" ht="12.75">
      <c r="A32" s="5" t="s">
        <v>18</v>
      </c>
      <c r="B32" s="5" t="s">
        <v>152</v>
      </c>
      <c r="C32" s="5" t="s">
        <v>167</v>
      </c>
      <c r="D32" s="5" t="s">
        <v>335</v>
      </c>
      <c r="E32" s="5" t="s">
        <v>487</v>
      </c>
      <c r="F32" s="13">
        <v>0.25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0.0004</v>
      </c>
      <c r="L32" s="13">
        <f>F32*K32</f>
        <v>0.0001</v>
      </c>
      <c r="N32" s="25" t="s">
        <v>7</v>
      </c>
      <c r="O32" s="13">
        <f>IF(N32="5",I32,0)</f>
        <v>0</v>
      </c>
      <c r="Z32" s="13">
        <f>IF(AD32=0,J32,0)</f>
        <v>0</v>
      </c>
      <c r="AA32" s="13">
        <f>IF(AD32=10,J32,0)</f>
        <v>0</v>
      </c>
      <c r="AB32" s="13">
        <f>IF(AD32=20,J32,0)</f>
        <v>0</v>
      </c>
      <c r="AD32" s="13">
        <v>20</v>
      </c>
      <c r="AE32" s="13">
        <f>G32*0.0728464924099524</f>
        <v>0</v>
      </c>
      <c r="AF32" s="13">
        <f>G32*(1-0.0728464924099524)</f>
        <v>0</v>
      </c>
    </row>
    <row r="33" spans="1:32" ht="12.75">
      <c r="A33" s="5" t="s">
        <v>19</v>
      </c>
      <c r="B33" s="5" t="s">
        <v>152</v>
      </c>
      <c r="C33" s="5" t="s">
        <v>168</v>
      </c>
      <c r="D33" s="5" t="s">
        <v>336</v>
      </c>
      <c r="E33" s="5" t="s">
        <v>488</v>
      </c>
      <c r="F33" s="13">
        <v>0.0001</v>
      </c>
      <c r="H33" s="13">
        <f>ROUND(F33*AE33,2)</f>
        <v>0</v>
      </c>
      <c r="I33" s="13">
        <f>J33-H33</f>
        <v>0</v>
      </c>
      <c r="J33" s="13">
        <f>ROUND(F33*G33,2)</f>
        <v>0</v>
      </c>
      <c r="K33" s="13">
        <v>0</v>
      </c>
      <c r="L33" s="13">
        <f>F33*K33</f>
        <v>0</v>
      </c>
      <c r="N33" s="25" t="s">
        <v>11</v>
      </c>
      <c r="O33" s="13">
        <f>IF(N33="5",I33,0)</f>
        <v>0</v>
      </c>
      <c r="Z33" s="13">
        <f>IF(AD33=0,J33,0)</f>
        <v>0</v>
      </c>
      <c r="AA33" s="13">
        <f>IF(AD33=10,J33,0)</f>
        <v>0</v>
      </c>
      <c r="AB33" s="13">
        <f>IF(AD33=20,J33,0)</f>
        <v>0</v>
      </c>
      <c r="AD33" s="13">
        <v>20</v>
      </c>
      <c r="AE33" s="13">
        <f>G33*0</f>
        <v>0</v>
      </c>
      <c r="AF33" s="13">
        <f>G33*(1-0)</f>
        <v>0</v>
      </c>
    </row>
    <row r="34" spans="1:32" ht="12.75">
      <c r="A34" s="5" t="s">
        <v>20</v>
      </c>
      <c r="B34" s="5" t="s">
        <v>152</v>
      </c>
      <c r="C34" s="5" t="s">
        <v>169</v>
      </c>
      <c r="D34" s="5" t="s">
        <v>337</v>
      </c>
      <c r="E34" s="5" t="s">
        <v>488</v>
      </c>
      <c r="F34" s="13">
        <v>0.0001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</v>
      </c>
      <c r="L34" s="13">
        <f>F34*K34</f>
        <v>0</v>
      </c>
      <c r="N34" s="25" t="s">
        <v>11</v>
      </c>
      <c r="O34" s="13">
        <f>IF(N34="5",I34,0)</f>
        <v>0</v>
      </c>
      <c r="Z34" s="13">
        <f>IF(AD34=0,J34,0)</f>
        <v>0</v>
      </c>
      <c r="AA34" s="13">
        <f>IF(AD34=10,J34,0)</f>
        <v>0</v>
      </c>
      <c r="AB34" s="13">
        <f>IF(AD34=20,J34,0)</f>
        <v>0</v>
      </c>
      <c r="AD34" s="13">
        <v>20</v>
      </c>
      <c r="AE34" s="13">
        <f>G34*0</f>
        <v>0</v>
      </c>
      <c r="AF34" s="13">
        <f>G34*(1-0)</f>
        <v>0</v>
      </c>
    </row>
    <row r="35" spans="1:37" ht="12.75">
      <c r="A35" s="4"/>
      <c r="B35" s="4"/>
      <c r="C35" s="11" t="s">
        <v>170</v>
      </c>
      <c r="D35" s="49" t="s">
        <v>338</v>
      </c>
      <c r="E35" s="50"/>
      <c r="F35" s="50"/>
      <c r="G35" s="50"/>
      <c r="H35" s="27">
        <f>SUM(H36:H41)</f>
        <v>0</v>
      </c>
      <c r="I35" s="27">
        <f>SUM(I36:I41)</f>
        <v>0</v>
      </c>
      <c r="J35" s="27">
        <f>H35+I35</f>
        <v>0</v>
      </c>
      <c r="K35" s="22"/>
      <c r="L35" s="27">
        <f>SUM(L36:L41)</f>
        <v>0.08707840000000001</v>
      </c>
      <c r="P35" s="27">
        <f>IF(Q35="PR",J35,SUM(O36:O41))</f>
        <v>0</v>
      </c>
      <c r="Q35" s="22" t="s">
        <v>515</v>
      </c>
      <c r="R35" s="27">
        <f>IF(Q35="HS",H35,0)</f>
        <v>0</v>
      </c>
      <c r="S35" s="27">
        <f>IF(Q35="HS",I35-P35,0)</f>
        <v>0</v>
      </c>
      <c r="T35" s="27">
        <f>IF(Q35="PS",H35,0)</f>
        <v>0</v>
      </c>
      <c r="U35" s="27">
        <f>IF(Q35="PS",I35-P35,0)</f>
        <v>0</v>
      </c>
      <c r="V35" s="27">
        <f>IF(Q35="MP",H35,0)</f>
        <v>0</v>
      </c>
      <c r="W35" s="27">
        <f>IF(Q35="MP",I35-P35,0)</f>
        <v>0</v>
      </c>
      <c r="X35" s="27">
        <f>IF(Q35="OM",H35,0)</f>
        <v>0</v>
      </c>
      <c r="Y35" s="22" t="s">
        <v>152</v>
      </c>
      <c r="AI35" s="27">
        <f>SUM(Z36:Z41)</f>
        <v>0</v>
      </c>
      <c r="AJ35" s="27">
        <f>SUM(AA36:AA41)</f>
        <v>0</v>
      </c>
      <c r="AK35" s="27">
        <f>SUM(AB36:AB41)</f>
        <v>0</v>
      </c>
    </row>
    <row r="36" spans="1:32" ht="12.75">
      <c r="A36" s="5" t="s">
        <v>21</v>
      </c>
      <c r="B36" s="5" t="s">
        <v>152</v>
      </c>
      <c r="C36" s="5" t="s">
        <v>171</v>
      </c>
      <c r="D36" s="5" t="s">
        <v>339</v>
      </c>
      <c r="E36" s="5" t="s">
        <v>489</v>
      </c>
      <c r="F36" s="13">
        <v>50</v>
      </c>
      <c r="H36" s="13">
        <f aca="true" t="shared" si="0" ref="H36:H41">ROUND(F36*AE36,2)</f>
        <v>0</v>
      </c>
      <c r="I36" s="13">
        <f aca="true" t="shared" si="1" ref="I36:I41">J36-H36</f>
        <v>0</v>
      </c>
      <c r="J36" s="13">
        <f aca="true" t="shared" si="2" ref="J36:J41">ROUND(F36*G36,2)</f>
        <v>0</v>
      </c>
      <c r="K36" s="13">
        <v>3E-05</v>
      </c>
      <c r="L36" s="13">
        <f aca="true" t="shared" si="3" ref="L36:L41">F36*K36</f>
        <v>0.0015</v>
      </c>
      <c r="N36" s="25" t="s">
        <v>511</v>
      </c>
      <c r="O36" s="13">
        <f aca="true" t="shared" si="4" ref="O36:O41">IF(N36="5",I36,0)</f>
        <v>0</v>
      </c>
      <c r="Z36" s="13">
        <f aca="true" t="shared" si="5" ref="Z36:Z41">IF(AD36=0,J36,0)</f>
        <v>0</v>
      </c>
      <c r="AA36" s="13">
        <f aca="true" t="shared" si="6" ref="AA36:AA41">IF(AD36=10,J36,0)</f>
        <v>0</v>
      </c>
      <c r="AB36" s="13">
        <f aca="true" t="shared" si="7" ref="AB36:AB41">IF(AD36=20,J36,0)</f>
        <v>0</v>
      </c>
      <c r="AD36" s="13">
        <v>20</v>
      </c>
      <c r="AE36" s="13">
        <f>G36*1</f>
        <v>0</v>
      </c>
      <c r="AF36" s="13">
        <f>G36*(1-1)</f>
        <v>0</v>
      </c>
    </row>
    <row r="37" spans="1:32" ht="12.75">
      <c r="A37" s="5" t="s">
        <v>22</v>
      </c>
      <c r="B37" s="5" t="s">
        <v>152</v>
      </c>
      <c r="C37" s="5" t="s">
        <v>172</v>
      </c>
      <c r="D37" s="5" t="s">
        <v>340</v>
      </c>
      <c r="E37" s="5" t="s">
        <v>489</v>
      </c>
      <c r="F37" s="13">
        <v>30</v>
      </c>
      <c r="H37" s="13">
        <f t="shared" si="0"/>
        <v>0</v>
      </c>
      <c r="I37" s="13">
        <f t="shared" si="1"/>
        <v>0</v>
      </c>
      <c r="J37" s="13">
        <f t="shared" si="2"/>
        <v>0</v>
      </c>
      <c r="K37" s="13">
        <v>6E-05</v>
      </c>
      <c r="L37" s="13">
        <f t="shared" si="3"/>
        <v>0.0018</v>
      </c>
      <c r="N37" s="25" t="s">
        <v>511</v>
      </c>
      <c r="O37" s="13">
        <f t="shared" si="4"/>
        <v>0</v>
      </c>
      <c r="Z37" s="13">
        <f t="shared" si="5"/>
        <v>0</v>
      </c>
      <c r="AA37" s="13">
        <f t="shared" si="6"/>
        <v>0</v>
      </c>
      <c r="AB37" s="13">
        <f t="shared" si="7"/>
        <v>0</v>
      </c>
      <c r="AD37" s="13">
        <v>20</v>
      </c>
      <c r="AE37" s="13">
        <f>G37*1</f>
        <v>0</v>
      </c>
      <c r="AF37" s="13">
        <f>G37*(1-1)</f>
        <v>0</v>
      </c>
    </row>
    <row r="38" spans="1:32" ht="12.75">
      <c r="A38" s="5" t="s">
        <v>23</v>
      </c>
      <c r="B38" s="5" t="s">
        <v>152</v>
      </c>
      <c r="C38" s="5" t="s">
        <v>173</v>
      </c>
      <c r="D38" s="5" t="s">
        <v>341</v>
      </c>
      <c r="E38" s="5" t="s">
        <v>489</v>
      </c>
      <c r="F38" s="13">
        <v>10</v>
      </c>
      <c r="H38" s="13">
        <f t="shared" si="0"/>
        <v>0</v>
      </c>
      <c r="I38" s="13">
        <f t="shared" si="1"/>
        <v>0</v>
      </c>
      <c r="J38" s="13">
        <f t="shared" si="2"/>
        <v>0</v>
      </c>
      <c r="K38" s="13">
        <v>0.00021</v>
      </c>
      <c r="L38" s="13">
        <f t="shared" si="3"/>
        <v>0.0021000000000000003</v>
      </c>
      <c r="N38" s="25" t="s">
        <v>511</v>
      </c>
      <c r="O38" s="13">
        <f t="shared" si="4"/>
        <v>0</v>
      </c>
      <c r="Z38" s="13">
        <f t="shared" si="5"/>
        <v>0</v>
      </c>
      <c r="AA38" s="13">
        <f t="shared" si="6"/>
        <v>0</v>
      </c>
      <c r="AB38" s="13">
        <f t="shared" si="7"/>
        <v>0</v>
      </c>
      <c r="AD38" s="13">
        <v>20</v>
      </c>
      <c r="AE38" s="13">
        <f>G38*1</f>
        <v>0</v>
      </c>
      <c r="AF38" s="13">
        <f>G38*(1-1)</f>
        <v>0</v>
      </c>
    </row>
    <row r="39" spans="1:32" ht="12.75">
      <c r="A39" s="5" t="s">
        <v>24</v>
      </c>
      <c r="B39" s="5" t="s">
        <v>152</v>
      </c>
      <c r="C39" s="5" t="s">
        <v>174</v>
      </c>
      <c r="D39" s="5" t="s">
        <v>342</v>
      </c>
      <c r="E39" s="5" t="s">
        <v>487</v>
      </c>
      <c r="F39" s="13">
        <v>57.52</v>
      </c>
      <c r="H39" s="13">
        <f t="shared" si="0"/>
        <v>0</v>
      </c>
      <c r="I39" s="13">
        <f t="shared" si="1"/>
        <v>0</v>
      </c>
      <c r="J39" s="13">
        <f t="shared" si="2"/>
        <v>0</v>
      </c>
      <c r="K39" s="13">
        <v>0.00142</v>
      </c>
      <c r="L39" s="13">
        <f t="shared" si="3"/>
        <v>0.08167840000000001</v>
      </c>
      <c r="N39" s="25" t="s">
        <v>7</v>
      </c>
      <c r="O39" s="13">
        <f t="shared" si="4"/>
        <v>0</v>
      </c>
      <c r="Z39" s="13">
        <f t="shared" si="5"/>
        <v>0</v>
      </c>
      <c r="AA39" s="13">
        <f t="shared" si="6"/>
        <v>0</v>
      </c>
      <c r="AB39" s="13">
        <f t="shared" si="7"/>
        <v>0</v>
      </c>
      <c r="AD39" s="13">
        <v>20</v>
      </c>
      <c r="AE39" s="13">
        <f>G39*0.412010073980796</f>
        <v>0</v>
      </c>
      <c r="AF39" s="13">
        <f>G39*(1-0.412010073980796)</f>
        <v>0</v>
      </c>
    </row>
    <row r="40" spans="1:32" ht="12.75">
      <c r="A40" s="5" t="s">
        <v>25</v>
      </c>
      <c r="B40" s="5" t="s">
        <v>152</v>
      </c>
      <c r="C40" s="5" t="s">
        <v>175</v>
      </c>
      <c r="D40" s="5" t="s">
        <v>343</v>
      </c>
      <c r="E40" s="5" t="s">
        <v>488</v>
      </c>
      <c r="F40" s="13">
        <v>0.087</v>
      </c>
      <c r="H40" s="13">
        <f t="shared" si="0"/>
        <v>0</v>
      </c>
      <c r="I40" s="13">
        <f t="shared" si="1"/>
        <v>0</v>
      </c>
      <c r="J40" s="13">
        <f t="shared" si="2"/>
        <v>0</v>
      </c>
      <c r="K40" s="13">
        <v>0</v>
      </c>
      <c r="L40" s="13">
        <f t="shared" si="3"/>
        <v>0</v>
      </c>
      <c r="N40" s="25" t="s">
        <v>11</v>
      </c>
      <c r="O40" s="13">
        <f t="shared" si="4"/>
        <v>0</v>
      </c>
      <c r="Z40" s="13">
        <f t="shared" si="5"/>
        <v>0</v>
      </c>
      <c r="AA40" s="13">
        <f t="shared" si="6"/>
        <v>0</v>
      </c>
      <c r="AB40" s="13">
        <f t="shared" si="7"/>
        <v>0</v>
      </c>
      <c r="AD40" s="13">
        <v>20</v>
      </c>
      <c r="AE40" s="13">
        <f>G40*0</f>
        <v>0</v>
      </c>
      <c r="AF40" s="13">
        <f>G40*(1-0)</f>
        <v>0</v>
      </c>
    </row>
    <row r="41" spans="1:32" ht="12.75">
      <c r="A41" s="5" t="s">
        <v>26</v>
      </c>
      <c r="B41" s="5" t="s">
        <v>152</v>
      </c>
      <c r="C41" s="5" t="s">
        <v>176</v>
      </c>
      <c r="D41" s="5" t="s">
        <v>344</v>
      </c>
      <c r="E41" s="5" t="s">
        <v>488</v>
      </c>
      <c r="F41" s="13">
        <v>0.087</v>
      </c>
      <c r="H41" s="13">
        <f t="shared" si="0"/>
        <v>0</v>
      </c>
      <c r="I41" s="13">
        <f t="shared" si="1"/>
        <v>0</v>
      </c>
      <c r="J41" s="13">
        <f t="shared" si="2"/>
        <v>0</v>
      </c>
      <c r="K41" s="13">
        <v>0</v>
      </c>
      <c r="L41" s="13">
        <f t="shared" si="3"/>
        <v>0</v>
      </c>
      <c r="N41" s="25" t="s">
        <v>11</v>
      </c>
      <c r="O41" s="13">
        <f t="shared" si="4"/>
        <v>0</v>
      </c>
      <c r="Z41" s="13">
        <f t="shared" si="5"/>
        <v>0</v>
      </c>
      <c r="AA41" s="13">
        <f t="shared" si="6"/>
        <v>0</v>
      </c>
      <c r="AB41" s="13">
        <f t="shared" si="7"/>
        <v>0</v>
      </c>
      <c r="AD41" s="13">
        <v>20</v>
      </c>
      <c r="AE41" s="13">
        <f>G41*0</f>
        <v>0</v>
      </c>
      <c r="AF41" s="13">
        <f>G41*(1-0)</f>
        <v>0</v>
      </c>
    </row>
    <row r="42" spans="1:37" ht="12.75">
      <c r="A42" s="4"/>
      <c r="B42" s="4"/>
      <c r="C42" s="11" t="s">
        <v>177</v>
      </c>
      <c r="D42" s="49" t="s">
        <v>345</v>
      </c>
      <c r="E42" s="50"/>
      <c r="F42" s="50"/>
      <c r="G42" s="50"/>
      <c r="H42" s="27">
        <f>SUM(H43:H66)</f>
        <v>0</v>
      </c>
      <c r="I42" s="27">
        <f>SUM(I43:I66)</f>
        <v>0</v>
      </c>
      <c r="J42" s="27">
        <f>H42+I42</f>
        <v>0</v>
      </c>
      <c r="K42" s="22"/>
      <c r="L42" s="27">
        <f>SUM(L43:L66)</f>
        <v>0.4696099999999999</v>
      </c>
      <c r="P42" s="27">
        <f>IF(Q42="PR",J42,SUM(O43:O66))</f>
        <v>0</v>
      </c>
      <c r="Q42" s="22" t="s">
        <v>515</v>
      </c>
      <c r="R42" s="27">
        <f>IF(Q42="HS",H42,0)</f>
        <v>0</v>
      </c>
      <c r="S42" s="27">
        <f>IF(Q42="HS",I42-P42,0)</f>
        <v>0</v>
      </c>
      <c r="T42" s="27">
        <f>IF(Q42="PS",H42,0)</f>
        <v>0</v>
      </c>
      <c r="U42" s="27">
        <f>IF(Q42="PS",I42-P42,0)</f>
        <v>0</v>
      </c>
      <c r="V42" s="27">
        <f>IF(Q42="MP",H42,0)</f>
        <v>0</v>
      </c>
      <c r="W42" s="27">
        <f>IF(Q42="MP",I42-P42,0)</f>
        <v>0</v>
      </c>
      <c r="X42" s="27">
        <f>IF(Q42="OM",H42,0)</f>
        <v>0</v>
      </c>
      <c r="Y42" s="22" t="s">
        <v>152</v>
      </c>
      <c r="AI42" s="27">
        <f>SUM(Z43:Z66)</f>
        <v>0</v>
      </c>
      <c r="AJ42" s="27">
        <f>SUM(AA43:AA66)</f>
        <v>0</v>
      </c>
      <c r="AK42" s="27">
        <f>SUM(AB43:AB66)</f>
        <v>0</v>
      </c>
    </row>
    <row r="43" spans="1:32" ht="12.75">
      <c r="A43" s="5" t="s">
        <v>27</v>
      </c>
      <c r="B43" s="5" t="s">
        <v>152</v>
      </c>
      <c r="C43" s="5" t="s">
        <v>178</v>
      </c>
      <c r="D43" s="5" t="s">
        <v>346</v>
      </c>
      <c r="E43" s="5" t="s">
        <v>490</v>
      </c>
      <c r="F43" s="13">
        <v>1</v>
      </c>
      <c r="H43" s="13">
        <f aca="true" t="shared" si="8" ref="H43:H66">ROUND(F43*AE43,2)</f>
        <v>0</v>
      </c>
      <c r="I43" s="13">
        <f aca="true" t="shared" si="9" ref="I43:I66">J43-H43</f>
        <v>0</v>
      </c>
      <c r="J43" s="13">
        <f aca="true" t="shared" si="10" ref="J43:J66">ROUND(F43*G43,2)</f>
        <v>0</v>
      </c>
      <c r="K43" s="13">
        <v>0.0001</v>
      </c>
      <c r="L43" s="13">
        <f aca="true" t="shared" si="11" ref="L43:L66">F43*K43</f>
        <v>0.0001</v>
      </c>
      <c r="N43" s="25" t="s">
        <v>511</v>
      </c>
      <c r="O43" s="13">
        <f aca="true" t="shared" si="12" ref="O43:O66">IF(N43="5",I43,0)</f>
        <v>0</v>
      </c>
      <c r="Z43" s="13">
        <f aca="true" t="shared" si="13" ref="Z43:Z66">IF(AD43=0,J43,0)</f>
        <v>0</v>
      </c>
      <c r="AA43" s="13">
        <f aca="true" t="shared" si="14" ref="AA43:AA66">IF(AD43=10,J43,0)</f>
        <v>0</v>
      </c>
      <c r="AB43" s="13">
        <f aca="true" t="shared" si="15" ref="AB43:AB66">IF(AD43=20,J43,0)</f>
        <v>0</v>
      </c>
      <c r="AD43" s="13">
        <v>20</v>
      </c>
      <c r="AE43" s="13">
        <f>G43*1</f>
        <v>0</v>
      </c>
      <c r="AF43" s="13">
        <f>G43*(1-1)</f>
        <v>0</v>
      </c>
    </row>
    <row r="44" spans="1:32" ht="12.75">
      <c r="A44" s="5" t="s">
        <v>28</v>
      </c>
      <c r="B44" s="5" t="s">
        <v>152</v>
      </c>
      <c r="C44" s="5" t="s">
        <v>179</v>
      </c>
      <c r="D44" s="5" t="s">
        <v>347</v>
      </c>
      <c r="E44" s="5" t="s">
        <v>490</v>
      </c>
      <c r="F44" s="13">
        <v>1</v>
      </c>
      <c r="H44" s="13">
        <f t="shared" si="8"/>
        <v>0</v>
      </c>
      <c r="I44" s="13">
        <f t="shared" si="9"/>
        <v>0</v>
      </c>
      <c r="J44" s="13">
        <f t="shared" si="10"/>
        <v>0</v>
      </c>
      <c r="K44" s="13">
        <v>0.0002</v>
      </c>
      <c r="L44" s="13">
        <f t="shared" si="11"/>
        <v>0.0002</v>
      </c>
      <c r="N44" s="25" t="s">
        <v>511</v>
      </c>
      <c r="O44" s="13">
        <f t="shared" si="12"/>
        <v>0</v>
      </c>
      <c r="Z44" s="13">
        <f t="shared" si="13"/>
        <v>0</v>
      </c>
      <c r="AA44" s="13">
        <f t="shared" si="14"/>
        <v>0</v>
      </c>
      <c r="AB44" s="13">
        <f t="shared" si="15"/>
        <v>0</v>
      </c>
      <c r="AD44" s="13">
        <v>20</v>
      </c>
      <c r="AE44" s="13">
        <f>G44*1</f>
        <v>0</v>
      </c>
      <c r="AF44" s="13">
        <f>G44*(1-1)</f>
        <v>0</v>
      </c>
    </row>
    <row r="45" spans="1:32" ht="12.75">
      <c r="A45" s="5" t="s">
        <v>29</v>
      </c>
      <c r="B45" s="5" t="s">
        <v>152</v>
      </c>
      <c r="C45" s="5" t="s">
        <v>180</v>
      </c>
      <c r="D45" s="5" t="s">
        <v>348</v>
      </c>
      <c r="E45" s="5" t="s">
        <v>490</v>
      </c>
      <c r="F45" s="13">
        <v>1</v>
      </c>
      <c r="H45" s="13">
        <f t="shared" si="8"/>
        <v>0</v>
      </c>
      <c r="I45" s="13">
        <f t="shared" si="9"/>
        <v>0</v>
      </c>
      <c r="J45" s="13">
        <f t="shared" si="10"/>
        <v>0</v>
      </c>
      <c r="K45" s="13">
        <v>0.0011</v>
      </c>
      <c r="L45" s="13">
        <f t="shared" si="11"/>
        <v>0.0011</v>
      </c>
      <c r="N45" s="25" t="s">
        <v>511</v>
      </c>
      <c r="O45" s="13">
        <f t="shared" si="12"/>
        <v>0</v>
      </c>
      <c r="Z45" s="13">
        <f t="shared" si="13"/>
        <v>0</v>
      </c>
      <c r="AA45" s="13">
        <f t="shared" si="14"/>
        <v>0</v>
      </c>
      <c r="AB45" s="13">
        <f t="shared" si="15"/>
        <v>0</v>
      </c>
      <c r="AD45" s="13">
        <v>20</v>
      </c>
      <c r="AE45" s="13">
        <f>G45*1</f>
        <v>0</v>
      </c>
      <c r="AF45" s="13">
        <f>G45*(1-1)</f>
        <v>0</v>
      </c>
    </row>
    <row r="46" spans="1:32" ht="12.75">
      <c r="A46" s="5" t="s">
        <v>30</v>
      </c>
      <c r="B46" s="5" t="s">
        <v>152</v>
      </c>
      <c r="C46" s="5" t="s">
        <v>181</v>
      </c>
      <c r="D46" s="5" t="s">
        <v>349</v>
      </c>
      <c r="E46" s="5" t="s">
        <v>489</v>
      </c>
      <c r="F46" s="13">
        <v>15</v>
      </c>
      <c r="H46" s="13">
        <f t="shared" si="8"/>
        <v>0</v>
      </c>
      <c r="I46" s="13">
        <f t="shared" si="9"/>
        <v>0</v>
      </c>
      <c r="J46" s="13">
        <f t="shared" si="10"/>
        <v>0</v>
      </c>
      <c r="K46" s="13">
        <v>0.00822</v>
      </c>
      <c r="L46" s="13">
        <f t="shared" si="11"/>
        <v>0.12329999999999999</v>
      </c>
      <c r="N46" s="25" t="s">
        <v>7</v>
      </c>
      <c r="O46" s="13">
        <f t="shared" si="12"/>
        <v>0</v>
      </c>
      <c r="Z46" s="13">
        <f t="shared" si="13"/>
        <v>0</v>
      </c>
      <c r="AA46" s="13">
        <f t="shared" si="14"/>
        <v>0</v>
      </c>
      <c r="AB46" s="13">
        <f t="shared" si="15"/>
        <v>0</v>
      </c>
      <c r="AD46" s="13">
        <v>20</v>
      </c>
      <c r="AE46" s="13">
        <f>G46*0.322982813865424</f>
        <v>0</v>
      </c>
      <c r="AF46" s="13">
        <f>G46*(1-0.322982813865424)</f>
        <v>0</v>
      </c>
    </row>
    <row r="47" spans="1:32" ht="12.75">
      <c r="A47" s="5" t="s">
        <v>31</v>
      </c>
      <c r="B47" s="5" t="s">
        <v>152</v>
      </c>
      <c r="C47" s="5" t="s">
        <v>182</v>
      </c>
      <c r="D47" s="5" t="s">
        <v>350</v>
      </c>
      <c r="E47" s="5" t="s">
        <v>489</v>
      </c>
      <c r="F47" s="13">
        <v>1</v>
      </c>
      <c r="H47" s="13">
        <f t="shared" si="8"/>
        <v>0</v>
      </c>
      <c r="I47" s="13">
        <f t="shared" si="9"/>
        <v>0</v>
      </c>
      <c r="J47" s="13">
        <f t="shared" si="10"/>
        <v>0</v>
      </c>
      <c r="K47" s="13">
        <v>0.00859</v>
      </c>
      <c r="L47" s="13">
        <f t="shared" si="11"/>
        <v>0.00859</v>
      </c>
      <c r="N47" s="25" t="s">
        <v>7</v>
      </c>
      <c r="O47" s="13">
        <f t="shared" si="12"/>
        <v>0</v>
      </c>
      <c r="Z47" s="13">
        <f t="shared" si="13"/>
        <v>0</v>
      </c>
      <c r="AA47" s="13">
        <f t="shared" si="14"/>
        <v>0</v>
      </c>
      <c r="AB47" s="13">
        <f t="shared" si="15"/>
        <v>0</v>
      </c>
      <c r="AD47" s="13">
        <v>20</v>
      </c>
      <c r="AE47" s="13">
        <f>G47*0.340798470274655</f>
        <v>0</v>
      </c>
      <c r="AF47" s="13">
        <f>G47*(1-0.340798470274655)</f>
        <v>0</v>
      </c>
    </row>
    <row r="48" spans="1:32" ht="12.75">
      <c r="A48" s="5" t="s">
        <v>32</v>
      </c>
      <c r="B48" s="5" t="s">
        <v>152</v>
      </c>
      <c r="C48" s="5" t="s">
        <v>183</v>
      </c>
      <c r="D48" s="5" t="s">
        <v>351</v>
      </c>
      <c r="E48" s="5" t="s">
        <v>489</v>
      </c>
      <c r="F48" s="13">
        <v>32</v>
      </c>
      <c r="H48" s="13">
        <f t="shared" si="8"/>
        <v>0</v>
      </c>
      <c r="I48" s="13">
        <f t="shared" si="9"/>
        <v>0</v>
      </c>
      <c r="J48" s="13">
        <f t="shared" si="10"/>
        <v>0</v>
      </c>
      <c r="K48" s="13">
        <v>0.00992</v>
      </c>
      <c r="L48" s="13">
        <f t="shared" si="11"/>
        <v>0.31744</v>
      </c>
      <c r="N48" s="25" t="s">
        <v>7</v>
      </c>
      <c r="O48" s="13">
        <f t="shared" si="12"/>
        <v>0</v>
      </c>
      <c r="Z48" s="13">
        <f t="shared" si="13"/>
        <v>0</v>
      </c>
      <c r="AA48" s="13">
        <f t="shared" si="14"/>
        <v>0</v>
      </c>
      <c r="AB48" s="13">
        <f t="shared" si="15"/>
        <v>0</v>
      </c>
      <c r="AD48" s="13">
        <v>20</v>
      </c>
      <c r="AE48" s="13">
        <f>G48*0.532690368848561</f>
        <v>0</v>
      </c>
      <c r="AF48" s="13">
        <f>G48*(1-0.532690368848561)</f>
        <v>0</v>
      </c>
    </row>
    <row r="49" spans="1:32" ht="12.75">
      <c r="A49" s="5" t="s">
        <v>33</v>
      </c>
      <c r="B49" s="5" t="s">
        <v>152</v>
      </c>
      <c r="C49" s="5" t="s">
        <v>184</v>
      </c>
      <c r="D49" s="5" t="s">
        <v>352</v>
      </c>
      <c r="E49" s="5" t="s">
        <v>491</v>
      </c>
      <c r="F49" s="13">
        <v>1</v>
      </c>
      <c r="H49" s="13">
        <f t="shared" si="8"/>
        <v>0</v>
      </c>
      <c r="I49" s="13">
        <f t="shared" si="9"/>
        <v>0</v>
      </c>
      <c r="J49" s="13">
        <f t="shared" si="10"/>
        <v>0</v>
      </c>
      <c r="K49" s="13">
        <v>0.00511</v>
      </c>
      <c r="L49" s="13">
        <f t="shared" si="11"/>
        <v>0.00511</v>
      </c>
      <c r="N49" s="25" t="s">
        <v>7</v>
      </c>
      <c r="O49" s="13">
        <f t="shared" si="12"/>
        <v>0</v>
      </c>
      <c r="Z49" s="13">
        <f t="shared" si="13"/>
        <v>0</v>
      </c>
      <c r="AA49" s="13">
        <f t="shared" si="14"/>
        <v>0</v>
      </c>
      <c r="AB49" s="13">
        <f t="shared" si="15"/>
        <v>0</v>
      </c>
      <c r="AD49" s="13">
        <v>20</v>
      </c>
      <c r="AE49" s="13">
        <f>G49*0.556783128915956</f>
        <v>0</v>
      </c>
      <c r="AF49" s="13">
        <f>G49*(1-0.556783128915956)</f>
        <v>0</v>
      </c>
    </row>
    <row r="50" spans="1:32" ht="12.75">
      <c r="A50" s="5" t="s">
        <v>34</v>
      </c>
      <c r="B50" s="5" t="s">
        <v>152</v>
      </c>
      <c r="C50" s="5" t="s">
        <v>185</v>
      </c>
      <c r="D50" s="5" t="s">
        <v>353</v>
      </c>
      <c r="E50" s="5" t="s">
        <v>491</v>
      </c>
      <c r="F50" s="13">
        <v>1</v>
      </c>
      <c r="H50" s="13">
        <f t="shared" si="8"/>
        <v>0</v>
      </c>
      <c r="I50" s="13">
        <f t="shared" si="9"/>
        <v>0</v>
      </c>
      <c r="J50" s="13">
        <f t="shared" si="10"/>
        <v>0</v>
      </c>
      <c r="K50" s="13">
        <v>0.00016</v>
      </c>
      <c r="L50" s="13">
        <f t="shared" si="11"/>
        <v>0.00016</v>
      </c>
      <c r="N50" s="25" t="s">
        <v>7</v>
      </c>
      <c r="O50" s="13">
        <f t="shared" si="12"/>
        <v>0</v>
      </c>
      <c r="Z50" s="13">
        <f t="shared" si="13"/>
        <v>0</v>
      </c>
      <c r="AA50" s="13">
        <f t="shared" si="14"/>
        <v>0</v>
      </c>
      <c r="AB50" s="13">
        <f t="shared" si="15"/>
        <v>0</v>
      </c>
      <c r="AD50" s="13">
        <v>20</v>
      </c>
      <c r="AE50" s="13">
        <f>G50*0.0392287435299815</f>
        <v>0</v>
      </c>
      <c r="AF50" s="13">
        <f>G50*(1-0.0392287435299815)</f>
        <v>0</v>
      </c>
    </row>
    <row r="51" spans="1:32" ht="12.75">
      <c r="A51" s="5" t="s">
        <v>35</v>
      </c>
      <c r="B51" s="5" t="s">
        <v>152</v>
      </c>
      <c r="C51" s="5" t="s">
        <v>186</v>
      </c>
      <c r="D51" s="5" t="s">
        <v>354</v>
      </c>
      <c r="E51" s="5" t="s">
        <v>490</v>
      </c>
      <c r="F51" s="13">
        <v>1</v>
      </c>
      <c r="H51" s="13">
        <f t="shared" si="8"/>
        <v>0</v>
      </c>
      <c r="I51" s="13">
        <f t="shared" si="9"/>
        <v>0</v>
      </c>
      <c r="J51" s="13">
        <f t="shared" si="10"/>
        <v>0</v>
      </c>
      <c r="K51" s="13">
        <v>0.00105</v>
      </c>
      <c r="L51" s="13">
        <f t="shared" si="11"/>
        <v>0.00105</v>
      </c>
      <c r="N51" s="25" t="s">
        <v>7</v>
      </c>
      <c r="O51" s="13">
        <f t="shared" si="12"/>
        <v>0</v>
      </c>
      <c r="Z51" s="13">
        <f t="shared" si="13"/>
        <v>0</v>
      </c>
      <c r="AA51" s="13">
        <f t="shared" si="14"/>
        <v>0</v>
      </c>
      <c r="AB51" s="13">
        <f t="shared" si="15"/>
        <v>0</v>
      </c>
      <c r="AD51" s="13">
        <v>20</v>
      </c>
      <c r="AE51" s="13">
        <f>G51*0.394334699962728</f>
        <v>0</v>
      </c>
      <c r="AF51" s="13">
        <f>G51*(1-0.394334699962728)</f>
        <v>0</v>
      </c>
    </row>
    <row r="52" spans="1:32" ht="12.75">
      <c r="A52" s="5" t="s">
        <v>36</v>
      </c>
      <c r="B52" s="5" t="s">
        <v>152</v>
      </c>
      <c r="C52" s="5" t="s">
        <v>187</v>
      </c>
      <c r="D52" s="5" t="s">
        <v>355</v>
      </c>
      <c r="E52" s="5" t="s">
        <v>490</v>
      </c>
      <c r="F52" s="13">
        <v>2</v>
      </c>
      <c r="H52" s="13">
        <f t="shared" si="8"/>
        <v>0</v>
      </c>
      <c r="I52" s="13">
        <f t="shared" si="9"/>
        <v>0</v>
      </c>
      <c r="J52" s="13">
        <f t="shared" si="10"/>
        <v>0</v>
      </c>
      <c r="K52" s="13">
        <v>0.00018</v>
      </c>
      <c r="L52" s="13">
        <f t="shared" si="11"/>
        <v>0.00036</v>
      </c>
      <c r="N52" s="25" t="s">
        <v>7</v>
      </c>
      <c r="O52" s="13">
        <f t="shared" si="12"/>
        <v>0</v>
      </c>
      <c r="Z52" s="13">
        <f t="shared" si="13"/>
        <v>0</v>
      </c>
      <c r="AA52" s="13">
        <f t="shared" si="14"/>
        <v>0</v>
      </c>
      <c r="AB52" s="13">
        <f t="shared" si="15"/>
        <v>0</v>
      </c>
      <c r="AD52" s="13">
        <v>20</v>
      </c>
      <c r="AE52" s="13">
        <f>G52*0.240075737790546</f>
        <v>0</v>
      </c>
      <c r="AF52" s="13">
        <f>G52*(1-0.240075737790546)</f>
        <v>0</v>
      </c>
    </row>
    <row r="53" spans="1:32" ht="12.75">
      <c r="A53" s="5" t="s">
        <v>37</v>
      </c>
      <c r="B53" s="5" t="s">
        <v>152</v>
      </c>
      <c r="C53" s="5" t="s">
        <v>188</v>
      </c>
      <c r="D53" s="5" t="s">
        <v>356</v>
      </c>
      <c r="E53" s="5" t="s">
        <v>490</v>
      </c>
      <c r="F53" s="13">
        <v>1</v>
      </c>
      <c r="H53" s="13">
        <f t="shared" si="8"/>
        <v>0</v>
      </c>
      <c r="I53" s="13">
        <f t="shared" si="9"/>
        <v>0</v>
      </c>
      <c r="J53" s="13">
        <f t="shared" si="10"/>
        <v>0</v>
      </c>
      <c r="K53" s="13">
        <v>0.00025</v>
      </c>
      <c r="L53" s="13">
        <f t="shared" si="11"/>
        <v>0.00025</v>
      </c>
      <c r="N53" s="25" t="s">
        <v>7</v>
      </c>
      <c r="O53" s="13">
        <f t="shared" si="12"/>
        <v>0</v>
      </c>
      <c r="Z53" s="13">
        <f t="shared" si="13"/>
        <v>0</v>
      </c>
      <c r="AA53" s="13">
        <f t="shared" si="14"/>
        <v>0</v>
      </c>
      <c r="AB53" s="13">
        <f t="shared" si="15"/>
        <v>0</v>
      </c>
      <c r="AD53" s="13">
        <v>20</v>
      </c>
      <c r="AE53" s="13">
        <f>G53*0.283874856172265</f>
        <v>0</v>
      </c>
      <c r="AF53" s="13">
        <f>G53*(1-0.283874856172265)</f>
        <v>0</v>
      </c>
    </row>
    <row r="54" spans="1:32" ht="12.75">
      <c r="A54" s="5" t="s">
        <v>38</v>
      </c>
      <c r="B54" s="5" t="s">
        <v>152</v>
      </c>
      <c r="C54" s="5" t="s">
        <v>189</v>
      </c>
      <c r="D54" s="5" t="s">
        <v>357</v>
      </c>
      <c r="E54" s="5" t="s">
        <v>489</v>
      </c>
      <c r="F54" s="13">
        <v>1</v>
      </c>
      <c r="H54" s="13">
        <f t="shared" si="8"/>
        <v>0</v>
      </c>
      <c r="I54" s="13">
        <f t="shared" si="9"/>
        <v>0</v>
      </c>
      <c r="J54" s="13">
        <f t="shared" si="10"/>
        <v>0</v>
      </c>
      <c r="K54" s="13">
        <v>0.00429</v>
      </c>
      <c r="L54" s="13">
        <f t="shared" si="11"/>
        <v>0.00429</v>
      </c>
      <c r="N54" s="25" t="s">
        <v>7</v>
      </c>
      <c r="O54" s="13">
        <f t="shared" si="12"/>
        <v>0</v>
      </c>
      <c r="Z54" s="13">
        <f t="shared" si="13"/>
        <v>0</v>
      </c>
      <c r="AA54" s="13">
        <f t="shared" si="14"/>
        <v>0</v>
      </c>
      <c r="AB54" s="13">
        <f t="shared" si="15"/>
        <v>0</v>
      </c>
      <c r="AD54" s="13">
        <v>20</v>
      </c>
      <c r="AE54" s="13">
        <f>G54*0.605779048396978</f>
        <v>0</v>
      </c>
      <c r="AF54" s="13">
        <f>G54*(1-0.605779048396978)</f>
        <v>0</v>
      </c>
    </row>
    <row r="55" spans="1:32" ht="12.75">
      <c r="A55" s="5" t="s">
        <v>39</v>
      </c>
      <c r="B55" s="5" t="s">
        <v>152</v>
      </c>
      <c r="C55" s="5" t="s">
        <v>190</v>
      </c>
      <c r="D55" s="5" t="s">
        <v>358</v>
      </c>
      <c r="E55" s="5" t="s">
        <v>490</v>
      </c>
      <c r="F55" s="13">
        <v>1</v>
      </c>
      <c r="H55" s="13">
        <f t="shared" si="8"/>
        <v>0</v>
      </c>
      <c r="I55" s="13">
        <f t="shared" si="9"/>
        <v>0</v>
      </c>
      <c r="J55" s="13">
        <f t="shared" si="10"/>
        <v>0</v>
      </c>
      <c r="K55" s="13">
        <v>0.00647</v>
      </c>
      <c r="L55" s="13">
        <f t="shared" si="11"/>
        <v>0.00647</v>
      </c>
      <c r="N55" s="25" t="s">
        <v>7</v>
      </c>
      <c r="O55" s="13">
        <f t="shared" si="12"/>
        <v>0</v>
      </c>
      <c r="Z55" s="13">
        <f t="shared" si="13"/>
        <v>0</v>
      </c>
      <c r="AA55" s="13">
        <f t="shared" si="14"/>
        <v>0</v>
      </c>
      <c r="AB55" s="13">
        <f t="shared" si="15"/>
        <v>0</v>
      </c>
      <c r="AD55" s="13">
        <v>20</v>
      </c>
      <c r="AE55" s="13">
        <f>G55*0.960312777076733</f>
        <v>0</v>
      </c>
      <c r="AF55" s="13">
        <f>G55*(1-0.960312777076733)</f>
        <v>0</v>
      </c>
    </row>
    <row r="56" spans="1:32" ht="12.75">
      <c r="A56" s="5" t="s">
        <v>40</v>
      </c>
      <c r="B56" s="5" t="s">
        <v>152</v>
      </c>
      <c r="C56" s="5" t="s">
        <v>191</v>
      </c>
      <c r="D56" s="5" t="s">
        <v>359</v>
      </c>
      <c r="E56" s="5" t="s">
        <v>491</v>
      </c>
      <c r="F56" s="13">
        <v>1</v>
      </c>
      <c r="H56" s="13">
        <f t="shared" si="8"/>
        <v>0</v>
      </c>
      <c r="I56" s="13">
        <f t="shared" si="9"/>
        <v>0</v>
      </c>
      <c r="J56" s="13">
        <f t="shared" si="10"/>
        <v>0</v>
      </c>
      <c r="K56" s="13">
        <v>0.0003</v>
      </c>
      <c r="L56" s="13">
        <f t="shared" si="11"/>
        <v>0.0003</v>
      </c>
      <c r="N56" s="25" t="s">
        <v>7</v>
      </c>
      <c r="O56" s="13">
        <f t="shared" si="12"/>
        <v>0</v>
      </c>
      <c r="Z56" s="13">
        <f t="shared" si="13"/>
        <v>0</v>
      </c>
      <c r="AA56" s="13">
        <f t="shared" si="14"/>
        <v>0</v>
      </c>
      <c r="AB56" s="13">
        <f t="shared" si="15"/>
        <v>0</v>
      </c>
      <c r="AD56" s="13">
        <v>20</v>
      </c>
      <c r="AE56" s="13">
        <f>G56*0.760777532645638</f>
        <v>0</v>
      </c>
      <c r="AF56" s="13">
        <f>G56*(1-0.760777532645638)</f>
        <v>0</v>
      </c>
    </row>
    <row r="57" spans="1:32" ht="12.75">
      <c r="A57" s="5" t="s">
        <v>41</v>
      </c>
      <c r="B57" s="5" t="s">
        <v>152</v>
      </c>
      <c r="C57" s="5" t="s">
        <v>192</v>
      </c>
      <c r="D57" s="5" t="s">
        <v>360</v>
      </c>
      <c r="E57" s="5" t="s">
        <v>490</v>
      </c>
      <c r="F57" s="13">
        <v>2</v>
      </c>
      <c r="H57" s="13">
        <f t="shared" si="8"/>
        <v>0</v>
      </c>
      <c r="I57" s="13">
        <f t="shared" si="9"/>
        <v>0</v>
      </c>
      <c r="J57" s="13">
        <f t="shared" si="10"/>
        <v>0</v>
      </c>
      <c r="K57" s="13">
        <v>3E-05</v>
      </c>
      <c r="L57" s="13">
        <f t="shared" si="11"/>
        <v>6E-05</v>
      </c>
      <c r="N57" s="25" t="s">
        <v>7</v>
      </c>
      <c r="O57" s="13">
        <f t="shared" si="12"/>
        <v>0</v>
      </c>
      <c r="Z57" s="13">
        <f t="shared" si="13"/>
        <v>0</v>
      </c>
      <c r="AA57" s="13">
        <f t="shared" si="14"/>
        <v>0</v>
      </c>
      <c r="AB57" s="13">
        <f t="shared" si="15"/>
        <v>0</v>
      </c>
      <c r="AD57" s="13">
        <v>20</v>
      </c>
      <c r="AE57" s="13">
        <f>G57*0.687541847074053</f>
        <v>0</v>
      </c>
      <c r="AF57" s="13">
        <f>G57*(1-0.687541847074053)</f>
        <v>0</v>
      </c>
    </row>
    <row r="58" spans="1:32" ht="12.75">
      <c r="A58" s="5" t="s">
        <v>42</v>
      </c>
      <c r="B58" s="5" t="s">
        <v>152</v>
      </c>
      <c r="C58" s="5" t="s">
        <v>193</v>
      </c>
      <c r="D58" s="5" t="s">
        <v>361</v>
      </c>
      <c r="E58" s="5" t="s">
        <v>490</v>
      </c>
      <c r="F58" s="13">
        <v>1</v>
      </c>
      <c r="H58" s="13">
        <f t="shared" si="8"/>
        <v>0</v>
      </c>
      <c r="I58" s="13">
        <f t="shared" si="9"/>
        <v>0</v>
      </c>
      <c r="J58" s="13">
        <f t="shared" si="10"/>
        <v>0</v>
      </c>
      <c r="K58" s="13">
        <v>3E-05</v>
      </c>
      <c r="L58" s="13">
        <f t="shared" si="11"/>
        <v>3E-05</v>
      </c>
      <c r="N58" s="25" t="s">
        <v>7</v>
      </c>
      <c r="O58" s="13">
        <f t="shared" si="12"/>
        <v>0</v>
      </c>
      <c r="Z58" s="13">
        <f t="shared" si="13"/>
        <v>0</v>
      </c>
      <c r="AA58" s="13">
        <f t="shared" si="14"/>
        <v>0</v>
      </c>
      <c r="AB58" s="13">
        <f t="shared" si="15"/>
        <v>0</v>
      </c>
      <c r="AD58" s="13">
        <v>20</v>
      </c>
      <c r="AE58" s="13">
        <f>G58*0.71718322698268</f>
        <v>0</v>
      </c>
      <c r="AF58" s="13">
        <f>G58*(1-0.71718322698268)</f>
        <v>0</v>
      </c>
    </row>
    <row r="59" spans="1:32" ht="12.75">
      <c r="A59" s="5" t="s">
        <v>43</v>
      </c>
      <c r="B59" s="5" t="s">
        <v>152</v>
      </c>
      <c r="C59" s="5" t="s">
        <v>194</v>
      </c>
      <c r="D59" s="5" t="s">
        <v>362</v>
      </c>
      <c r="E59" s="5" t="s">
        <v>490</v>
      </c>
      <c r="F59" s="13">
        <v>1</v>
      </c>
      <c r="H59" s="13">
        <f t="shared" si="8"/>
        <v>0</v>
      </c>
      <c r="I59" s="13">
        <f t="shared" si="9"/>
        <v>0</v>
      </c>
      <c r="J59" s="13">
        <f t="shared" si="10"/>
        <v>0</v>
      </c>
      <c r="K59" s="13">
        <v>3E-05</v>
      </c>
      <c r="L59" s="13">
        <f t="shared" si="11"/>
        <v>3E-05</v>
      </c>
      <c r="N59" s="25" t="s">
        <v>7</v>
      </c>
      <c r="O59" s="13">
        <f t="shared" si="12"/>
        <v>0</v>
      </c>
      <c r="Z59" s="13">
        <f t="shared" si="13"/>
        <v>0</v>
      </c>
      <c r="AA59" s="13">
        <f t="shared" si="14"/>
        <v>0</v>
      </c>
      <c r="AB59" s="13">
        <f t="shared" si="15"/>
        <v>0</v>
      </c>
      <c r="AD59" s="13">
        <v>20</v>
      </c>
      <c r="AE59" s="13">
        <f>G59*0.834033398217396</f>
        <v>0</v>
      </c>
      <c r="AF59" s="13">
        <f>G59*(1-0.834033398217396)</f>
        <v>0</v>
      </c>
    </row>
    <row r="60" spans="1:32" ht="12.75">
      <c r="A60" s="5" t="s">
        <v>44</v>
      </c>
      <c r="B60" s="5" t="s">
        <v>152</v>
      </c>
      <c r="C60" s="5" t="s">
        <v>195</v>
      </c>
      <c r="D60" s="5" t="s">
        <v>363</v>
      </c>
      <c r="E60" s="5" t="s">
        <v>490</v>
      </c>
      <c r="F60" s="13">
        <v>1</v>
      </c>
      <c r="H60" s="13">
        <f t="shared" si="8"/>
        <v>0</v>
      </c>
      <c r="I60" s="13">
        <f t="shared" si="9"/>
        <v>0</v>
      </c>
      <c r="J60" s="13">
        <f t="shared" si="10"/>
        <v>0</v>
      </c>
      <c r="K60" s="13">
        <v>0.00017</v>
      </c>
      <c r="L60" s="13">
        <f t="shared" si="11"/>
        <v>0.00017</v>
      </c>
      <c r="N60" s="25" t="s">
        <v>7</v>
      </c>
      <c r="O60" s="13">
        <f t="shared" si="12"/>
        <v>0</v>
      </c>
      <c r="Z60" s="13">
        <f t="shared" si="13"/>
        <v>0</v>
      </c>
      <c r="AA60" s="13">
        <f t="shared" si="14"/>
        <v>0</v>
      </c>
      <c r="AB60" s="13">
        <f t="shared" si="15"/>
        <v>0</v>
      </c>
      <c r="AD60" s="13">
        <v>20</v>
      </c>
      <c r="AE60" s="13">
        <f>G60*0.251411559388153</f>
        <v>0</v>
      </c>
      <c r="AF60" s="13">
        <f>G60*(1-0.251411559388153)</f>
        <v>0</v>
      </c>
    </row>
    <row r="61" spans="1:32" ht="12.75">
      <c r="A61" s="5" t="s">
        <v>45</v>
      </c>
      <c r="B61" s="5" t="s">
        <v>152</v>
      </c>
      <c r="C61" s="5" t="s">
        <v>196</v>
      </c>
      <c r="D61" s="5" t="s">
        <v>364</v>
      </c>
      <c r="E61" s="5" t="s">
        <v>490</v>
      </c>
      <c r="F61" s="13">
        <v>1</v>
      </c>
      <c r="H61" s="13">
        <f t="shared" si="8"/>
        <v>0</v>
      </c>
      <c r="I61" s="13">
        <f t="shared" si="9"/>
        <v>0</v>
      </c>
      <c r="J61" s="13">
        <f t="shared" si="10"/>
        <v>0</v>
      </c>
      <c r="K61" s="13">
        <v>0</v>
      </c>
      <c r="L61" s="13">
        <f t="shared" si="11"/>
        <v>0</v>
      </c>
      <c r="N61" s="25" t="s">
        <v>7</v>
      </c>
      <c r="O61" s="13">
        <f t="shared" si="12"/>
        <v>0</v>
      </c>
      <c r="Z61" s="13">
        <f t="shared" si="13"/>
        <v>0</v>
      </c>
      <c r="AA61" s="13">
        <f t="shared" si="14"/>
        <v>0</v>
      </c>
      <c r="AB61" s="13">
        <f t="shared" si="15"/>
        <v>0</v>
      </c>
      <c r="AD61" s="13">
        <v>20</v>
      </c>
      <c r="AE61" s="13">
        <f>G61*0</f>
        <v>0</v>
      </c>
      <c r="AF61" s="13">
        <f>G61*(1-0)</f>
        <v>0</v>
      </c>
    </row>
    <row r="62" spans="1:32" ht="12.75">
      <c r="A62" s="5" t="s">
        <v>46</v>
      </c>
      <c r="B62" s="5" t="s">
        <v>152</v>
      </c>
      <c r="C62" s="5" t="s">
        <v>197</v>
      </c>
      <c r="D62" s="5" t="s">
        <v>365</v>
      </c>
      <c r="E62" s="5" t="s">
        <v>491</v>
      </c>
      <c r="F62" s="13">
        <v>1</v>
      </c>
      <c r="H62" s="13">
        <f t="shared" si="8"/>
        <v>0</v>
      </c>
      <c r="I62" s="13">
        <f t="shared" si="9"/>
        <v>0</v>
      </c>
      <c r="J62" s="13">
        <f t="shared" si="10"/>
        <v>0</v>
      </c>
      <c r="K62" s="13">
        <v>0.0006</v>
      </c>
      <c r="L62" s="13">
        <f t="shared" si="11"/>
        <v>0.0006</v>
      </c>
      <c r="N62" s="25" t="s">
        <v>7</v>
      </c>
      <c r="O62" s="13">
        <f t="shared" si="12"/>
        <v>0</v>
      </c>
      <c r="Z62" s="13">
        <f t="shared" si="13"/>
        <v>0</v>
      </c>
      <c r="AA62" s="13">
        <f t="shared" si="14"/>
        <v>0</v>
      </c>
      <c r="AB62" s="13">
        <f t="shared" si="15"/>
        <v>0</v>
      </c>
      <c r="AD62" s="13">
        <v>20</v>
      </c>
      <c r="AE62" s="13">
        <f>G62*0.474842894790189</f>
        <v>0</v>
      </c>
      <c r="AF62" s="13">
        <f>G62*(1-0.474842894790189)</f>
        <v>0</v>
      </c>
    </row>
    <row r="63" spans="1:32" ht="12.75">
      <c r="A63" s="5" t="s">
        <v>47</v>
      </c>
      <c r="B63" s="5" t="s">
        <v>152</v>
      </c>
      <c r="C63" s="5" t="s">
        <v>198</v>
      </c>
      <c r="D63" s="5" t="s">
        <v>366</v>
      </c>
      <c r="E63" s="5" t="s">
        <v>489</v>
      </c>
      <c r="F63" s="13">
        <v>33</v>
      </c>
      <c r="H63" s="13">
        <f t="shared" si="8"/>
        <v>0</v>
      </c>
      <c r="I63" s="13">
        <f t="shared" si="9"/>
        <v>0</v>
      </c>
      <c r="J63" s="13">
        <f t="shared" si="10"/>
        <v>0</v>
      </c>
      <c r="K63" s="13">
        <v>0</v>
      </c>
      <c r="L63" s="13">
        <f t="shared" si="11"/>
        <v>0</v>
      </c>
      <c r="N63" s="25" t="s">
        <v>7</v>
      </c>
      <c r="O63" s="13">
        <f t="shared" si="12"/>
        <v>0</v>
      </c>
      <c r="Z63" s="13">
        <f t="shared" si="13"/>
        <v>0</v>
      </c>
      <c r="AA63" s="13">
        <f t="shared" si="14"/>
        <v>0</v>
      </c>
      <c r="AB63" s="13">
        <f t="shared" si="15"/>
        <v>0</v>
      </c>
      <c r="AD63" s="13">
        <v>20</v>
      </c>
      <c r="AE63" s="13">
        <f>G63*0</f>
        <v>0</v>
      </c>
      <c r="AF63" s="13">
        <f>G63*(1-0)</f>
        <v>0</v>
      </c>
    </row>
    <row r="64" spans="1:32" ht="12.75">
      <c r="A64" s="5" t="s">
        <v>48</v>
      </c>
      <c r="B64" s="5" t="s">
        <v>152</v>
      </c>
      <c r="C64" s="5" t="s">
        <v>199</v>
      </c>
      <c r="D64" s="5" t="s">
        <v>367</v>
      </c>
      <c r="E64" s="5" t="s">
        <v>490</v>
      </c>
      <c r="F64" s="13">
        <v>1</v>
      </c>
      <c r="H64" s="13">
        <f t="shared" si="8"/>
        <v>0</v>
      </c>
      <c r="I64" s="13">
        <f t="shared" si="9"/>
        <v>0</v>
      </c>
      <c r="J64" s="13">
        <f t="shared" si="10"/>
        <v>0</v>
      </c>
      <c r="K64" s="13">
        <v>0</v>
      </c>
      <c r="L64" s="13">
        <f t="shared" si="11"/>
        <v>0</v>
      </c>
      <c r="N64" s="25" t="s">
        <v>7</v>
      </c>
      <c r="O64" s="13">
        <f t="shared" si="12"/>
        <v>0</v>
      </c>
      <c r="Z64" s="13">
        <f t="shared" si="13"/>
        <v>0</v>
      </c>
      <c r="AA64" s="13">
        <f t="shared" si="14"/>
        <v>0</v>
      </c>
      <c r="AB64" s="13">
        <f t="shared" si="15"/>
        <v>0</v>
      </c>
      <c r="AD64" s="13">
        <v>20</v>
      </c>
      <c r="AE64" s="13">
        <f>G64*0</f>
        <v>0</v>
      </c>
      <c r="AF64" s="13">
        <f>G64*(1-0)</f>
        <v>0</v>
      </c>
    </row>
    <row r="65" spans="1:32" ht="12.75">
      <c r="A65" s="5" t="s">
        <v>49</v>
      </c>
      <c r="B65" s="5" t="s">
        <v>152</v>
      </c>
      <c r="C65" s="5" t="s">
        <v>200</v>
      </c>
      <c r="D65" s="5" t="s">
        <v>368</v>
      </c>
      <c r="E65" s="5" t="s">
        <v>488</v>
      </c>
      <c r="F65" s="13">
        <v>0.46961</v>
      </c>
      <c r="H65" s="13">
        <f t="shared" si="8"/>
        <v>0</v>
      </c>
      <c r="I65" s="13">
        <f t="shared" si="9"/>
        <v>0</v>
      </c>
      <c r="J65" s="13">
        <f t="shared" si="10"/>
        <v>0</v>
      </c>
      <c r="K65" s="13">
        <v>0</v>
      </c>
      <c r="L65" s="13">
        <f t="shared" si="11"/>
        <v>0</v>
      </c>
      <c r="N65" s="25" t="s">
        <v>11</v>
      </c>
      <c r="O65" s="13">
        <f t="shared" si="12"/>
        <v>0</v>
      </c>
      <c r="Z65" s="13">
        <f t="shared" si="13"/>
        <v>0</v>
      </c>
      <c r="AA65" s="13">
        <f t="shared" si="14"/>
        <v>0</v>
      </c>
      <c r="AB65" s="13">
        <f t="shared" si="15"/>
        <v>0</v>
      </c>
      <c r="AD65" s="13">
        <v>20</v>
      </c>
      <c r="AE65" s="13">
        <f>G65*0</f>
        <v>0</v>
      </c>
      <c r="AF65" s="13">
        <f>G65*(1-0)</f>
        <v>0</v>
      </c>
    </row>
    <row r="66" spans="1:32" ht="12.75">
      <c r="A66" s="5" t="s">
        <v>50</v>
      </c>
      <c r="B66" s="5" t="s">
        <v>152</v>
      </c>
      <c r="C66" s="5" t="s">
        <v>201</v>
      </c>
      <c r="D66" s="5" t="s">
        <v>369</v>
      </c>
      <c r="E66" s="5" t="s">
        <v>488</v>
      </c>
      <c r="F66" s="13">
        <v>0.46961</v>
      </c>
      <c r="H66" s="13">
        <f t="shared" si="8"/>
        <v>0</v>
      </c>
      <c r="I66" s="13">
        <f t="shared" si="9"/>
        <v>0</v>
      </c>
      <c r="J66" s="13">
        <f t="shared" si="10"/>
        <v>0</v>
      </c>
      <c r="K66" s="13">
        <v>0</v>
      </c>
      <c r="L66" s="13">
        <f t="shared" si="11"/>
        <v>0</v>
      </c>
      <c r="N66" s="25" t="s">
        <v>11</v>
      </c>
      <c r="O66" s="13">
        <f t="shared" si="12"/>
        <v>0</v>
      </c>
      <c r="Z66" s="13">
        <f t="shared" si="13"/>
        <v>0</v>
      </c>
      <c r="AA66" s="13">
        <f t="shared" si="14"/>
        <v>0</v>
      </c>
      <c r="AB66" s="13">
        <f t="shared" si="15"/>
        <v>0</v>
      </c>
      <c r="AD66" s="13">
        <v>20</v>
      </c>
      <c r="AE66" s="13">
        <f>G66*0</f>
        <v>0</v>
      </c>
      <c r="AF66" s="13">
        <f>G66*(1-0)</f>
        <v>0</v>
      </c>
    </row>
    <row r="67" spans="1:37" ht="12.75">
      <c r="A67" s="4"/>
      <c r="B67" s="4"/>
      <c r="C67" s="11" t="s">
        <v>202</v>
      </c>
      <c r="D67" s="49" t="s">
        <v>370</v>
      </c>
      <c r="E67" s="50"/>
      <c r="F67" s="50"/>
      <c r="G67" s="50"/>
      <c r="H67" s="27">
        <f>SUM(H68:H78)</f>
        <v>0</v>
      </c>
      <c r="I67" s="27">
        <f>SUM(I68:I78)</f>
        <v>0</v>
      </c>
      <c r="J67" s="27">
        <f>H67+I67</f>
        <v>0</v>
      </c>
      <c r="K67" s="22"/>
      <c r="L67" s="27">
        <f>SUM(L68:L78)</f>
        <v>2.0601499999999997</v>
      </c>
      <c r="P67" s="27">
        <f>IF(Q67="PR",J67,SUM(O68:O78))</f>
        <v>0</v>
      </c>
      <c r="Q67" s="22" t="s">
        <v>515</v>
      </c>
      <c r="R67" s="27">
        <f>IF(Q67="HS",H67,0)</f>
        <v>0</v>
      </c>
      <c r="S67" s="27">
        <f>IF(Q67="HS",I67-P67,0)</f>
        <v>0</v>
      </c>
      <c r="T67" s="27">
        <f>IF(Q67="PS",H67,0)</f>
        <v>0</v>
      </c>
      <c r="U67" s="27">
        <f>IF(Q67="PS",I67-P67,0)</f>
        <v>0</v>
      </c>
      <c r="V67" s="27">
        <f>IF(Q67="MP",H67,0)</f>
        <v>0</v>
      </c>
      <c r="W67" s="27">
        <f>IF(Q67="MP",I67-P67,0)</f>
        <v>0</v>
      </c>
      <c r="X67" s="27">
        <f>IF(Q67="OM",H67,0)</f>
        <v>0</v>
      </c>
      <c r="Y67" s="22" t="s">
        <v>152</v>
      </c>
      <c r="AI67" s="27">
        <f>SUM(Z68:Z78)</f>
        <v>0</v>
      </c>
      <c r="AJ67" s="27">
        <f>SUM(AA68:AA78)</f>
        <v>0</v>
      </c>
      <c r="AK67" s="27">
        <f>SUM(AB68:AB78)</f>
        <v>0</v>
      </c>
    </row>
    <row r="68" spans="1:32" ht="12.75">
      <c r="A68" s="5" t="s">
        <v>51</v>
      </c>
      <c r="B68" s="5" t="s">
        <v>152</v>
      </c>
      <c r="C68" s="5" t="s">
        <v>203</v>
      </c>
      <c r="D68" s="5" t="s">
        <v>371</v>
      </c>
      <c r="E68" s="5" t="s">
        <v>492</v>
      </c>
      <c r="F68" s="13">
        <v>1</v>
      </c>
      <c r="H68" s="13">
        <f aca="true" t="shared" si="16" ref="H68:H78">ROUND(F68*AE68,2)</f>
        <v>0</v>
      </c>
      <c r="I68" s="13">
        <f aca="true" t="shared" si="17" ref="I68:I78">J68-H68</f>
        <v>0</v>
      </c>
      <c r="J68" s="13">
        <f aca="true" t="shared" si="18" ref="J68:J78">ROUND(F68*G68,2)</f>
        <v>0</v>
      </c>
      <c r="K68" s="13">
        <v>0.05</v>
      </c>
      <c r="L68" s="13">
        <f aca="true" t="shared" si="19" ref="L68:L78">F68*K68</f>
        <v>0.05</v>
      </c>
      <c r="N68" s="25" t="s">
        <v>511</v>
      </c>
      <c r="O68" s="13">
        <f aca="true" t="shared" si="20" ref="O68:O78">IF(N68="5",I68,0)</f>
        <v>0</v>
      </c>
      <c r="Z68" s="13">
        <f aca="true" t="shared" si="21" ref="Z68:Z78">IF(AD68=0,J68,0)</f>
        <v>0</v>
      </c>
      <c r="AA68" s="13">
        <f aca="true" t="shared" si="22" ref="AA68:AA78">IF(AD68=10,J68,0)</f>
        <v>0</v>
      </c>
      <c r="AB68" s="13">
        <f aca="true" t="shared" si="23" ref="AB68:AB78">IF(AD68=20,J68,0)</f>
        <v>0</v>
      </c>
      <c r="AD68" s="13">
        <v>20</v>
      </c>
      <c r="AE68" s="13">
        <f>G68*1</f>
        <v>0</v>
      </c>
      <c r="AF68" s="13">
        <f>G68*(1-1)</f>
        <v>0</v>
      </c>
    </row>
    <row r="69" spans="1:32" ht="12.75">
      <c r="A69" s="5" t="s">
        <v>52</v>
      </c>
      <c r="B69" s="5" t="s">
        <v>152</v>
      </c>
      <c r="C69" s="5" t="s">
        <v>204</v>
      </c>
      <c r="D69" s="5" t="s">
        <v>372</v>
      </c>
      <c r="E69" s="5" t="s">
        <v>492</v>
      </c>
      <c r="F69" s="13">
        <v>1</v>
      </c>
      <c r="H69" s="13">
        <f t="shared" si="16"/>
        <v>0</v>
      </c>
      <c r="I69" s="13">
        <f t="shared" si="17"/>
        <v>0</v>
      </c>
      <c r="J69" s="13">
        <f t="shared" si="18"/>
        <v>0</v>
      </c>
      <c r="K69" s="13">
        <v>0.008</v>
      </c>
      <c r="L69" s="13">
        <f t="shared" si="19"/>
        <v>0.008</v>
      </c>
      <c r="N69" s="25" t="s">
        <v>511</v>
      </c>
      <c r="O69" s="13">
        <f t="shared" si="20"/>
        <v>0</v>
      </c>
      <c r="Z69" s="13">
        <f t="shared" si="21"/>
        <v>0</v>
      </c>
      <c r="AA69" s="13">
        <f t="shared" si="22"/>
        <v>0</v>
      </c>
      <c r="AB69" s="13">
        <f t="shared" si="23"/>
        <v>0</v>
      </c>
      <c r="AD69" s="13">
        <v>20</v>
      </c>
      <c r="AE69" s="13">
        <f>G69*1</f>
        <v>0</v>
      </c>
      <c r="AF69" s="13">
        <f>G69*(1-1)</f>
        <v>0</v>
      </c>
    </row>
    <row r="70" spans="1:32" ht="12.75">
      <c r="A70" s="5" t="s">
        <v>53</v>
      </c>
      <c r="B70" s="5" t="s">
        <v>152</v>
      </c>
      <c r="C70" s="5" t="s">
        <v>205</v>
      </c>
      <c r="D70" s="5" t="s">
        <v>373</v>
      </c>
      <c r="E70" s="5" t="s">
        <v>490</v>
      </c>
      <c r="F70" s="13">
        <v>1</v>
      </c>
      <c r="H70" s="13">
        <f t="shared" si="16"/>
        <v>0</v>
      </c>
      <c r="I70" s="13">
        <f t="shared" si="17"/>
        <v>0</v>
      </c>
      <c r="J70" s="13">
        <f t="shared" si="18"/>
        <v>0</v>
      </c>
      <c r="K70" s="13">
        <v>1.92</v>
      </c>
      <c r="L70" s="13">
        <f t="shared" si="19"/>
        <v>1.92</v>
      </c>
      <c r="N70" s="25" t="s">
        <v>7</v>
      </c>
      <c r="O70" s="13">
        <f t="shared" si="20"/>
        <v>0</v>
      </c>
      <c r="Z70" s="13">
        <f t="shared" si="21"/>
        <v>0</v>
      </c>
      <c r="AA70" s="13">
        <f t="shared" si="22"/>
        <v>0</v>
      </c>
      <c r="AB70" s="13">
        <f t="shared" si="23"/>
        <v>0</v>
      </c>
      <c r="AD70" s="13">
        <v>20</v>
      </c>
      <c r="AE70" s="13">
        <f>G70*0.00471526009322551</f>
        <v>0</v>
      </c>
      <c r="AF70" s="13">
        <f>G70*(1-0.00471526009322551)</f>
        <v>0</v>
      </c>
    </row>
    <row r="71" spans="1:32" ht="12.75">
      <c r="A71" s="5" t="s">
        <v>54</v>
      </c>
      <c r="B71" s="5" t="s">
        <v>152</v>
      </c>
      <c r="C71" s="5" t="s">
        <v>206</v>
      </c>
      <c r="D71" s="5" t="s">
        <v>374</v>
      </c>
      <c r="E71" s="5" t="s">
        <v>490</v>
      </c>
      <c r="F71" s="13">
        <v>1</v>
      </c>
      <c r="H71" s="13">
        <f t="shared" si="16"/>
        <v>0</v>
      </c>
      <c r="I71" s="13">
        <f t="shared" si="17"/>
        <v>0</v>
      </c>
      <c r="J71" s="13">
        <f t="shared" si="18"/>
        <v>0</v>
      </c>
      <c r="K71" s="13">
        <v>0.06505</v>
      </c>
      <c r="L71" s="13">
        <f t="shared" si="19"/>
        <v>0.06505</v>
      </c>
      <c r="N71" s="25" t="s">
        <v>7</v>
      </c>
      <c r="O71" s="13">
        <f t="shared" si="20"/>
        <v>0</v>
      </c>
      <c r="Z71" s="13">
        <f t="shared" si="21"/>
        <v>0</v>
      </c>
      <c r="AA71" s="13">
        <f t="shared" si="22"/>
        <v>0</v>
      </c>
      <c r="AB71" s="13">
        <f t="shared" si="23"/>
        <v>0</v>
      </c>
      <c r="AD71" s="13">
        <v>20</v>
      </c>
      <c r="AE71" s="13">
        <f>G71*0.0161469933184855</f>
        <v>0</v>
      </c>
      <c r="AF71" s="13">
        <f>G71*(1-0.0161469933184855)</f>
        <v>0</v>
      </c>
    </row>
    <row r="72" spans="1:32" ht="12.75">
      <c r="A72" s="5" t="s">
        <v>55</v>
      </c>
      <c r="B72" s="5" t="s">
        <v>152</v>
      </c>
      <c r="C72" s="5" t="s">
        <v>207</v>
      </c>
      <c r="D72" s="5" t="s">
        <v>375</v>
      </c>
      <c r="E72" s="5" t="s">
        <v>490</v>
      </c>
      <c r="F72" s="13">
        <v>1</v>
      </c>
      <c r="H72" s="13">
        <f t="shared" si="16"/>
        <v>0</v>
      </c>
      <c r="I72" s="13">
        <f t="shared" si="17"/>
        <v>0</v>
      </c>
      <c r="J72" s="13">
        <f t="shared" si="18"/>
        <v>0</v>
      </c>
      <c r="K72" s="13">
        <v>0.01524</v>
      </c>
      <c r="L72" s="13">
        <f t="shared" si="19"/>
        <v>0.01524</v>
      </c>
      <c r="N72" s="25" t="s">
        <v>7</v>
      </c>
      <c r="O72" s="13">
        <f t="shared" si="20"/>
        <v>0</v>
      </c>
      <c r="Z72" s="13">
        <f t="shared" si="21"/>
        <v>0</v>
      </c>
      <c r="AA72" s="13">
        <f t="shared" si="22"/>
        <v>0</v>
      </c>
      <c r="AB72" s="13">
        <f t="shared" si="23"/>
        <v>0</v>
      </c>
      <c r="AD72" s="13">
        <v>20</v>
      </c>
      <c r="AE72" s="13">
        <f>G72*0.238080728790101</f>
        <v>0</v>
      </c>
      <c r="AF72" s="13">
        <f>G72*(1-0.238080728790101)</f>
        <v>0</v>
      </c>
    </row>
    <row r="73" spans="1:32" ht="12.75">
      <c r="A73" s="5" t="s">
        <v>56</v>
      </c>
      <c r="B73" s="5" t="s">
        <v>152</v>
      </c>
      <c r="C73" s="5" t="s">
        <v>208</v>
      </c>
      <c r="D73" s="5" t="s">
        <v>376</v>
      </c>
      <c r="E73" s="5" t="s">
        <v>491</v>
      </c>
      <c r="F73" s="13">
        <v>1</v>
      </c>
      <c r="H73" s="13">
        <f t="shared" si="16"/>
        <v>0</v>
      </c>
      <c r="I73" s="13">
        <f t="shared" si="17"/>
        <v>0</v>
      </c>
      <c r="J73" s="13">
        <f t="shared" si="18"/>
        <v>0</v>
      </c>
      <c r="K73" s="13">
        <v>0.0008</v>
      </c>
      <c r="L73" s="13">
        <f t="shared" si="19"/>
        <v>0.0008</v>
      </c>
      <c r="N73" s="25" t="s">
        <v>7</v>
      </c>
      <c r="O73" s="13">
        <f t="shared" si="20"/>
        <v>0</v>
      </c>
      <c r="Z73" s="13">
        <f t="shared" si="21"/>
        <v>0</v>
      </c>
      <c r="AA73" s="13">
        <f t="shared" si="22"/>
        <v>0</v>
      </c>
      <c r="AB73" s="13">
        <f t="shared" si="23"/>
        <v>0</v>
      </c>
      <c r="AD73" s="13">
        <v>20</v>
      </c>
      <c r="AE73" s="13">
        <f>G73*0.0637026384321836</f>
        <v>0</v>
      </c>
      <c r="AF73" s="13">
        <f>G73*(1-0.0637026384321836)</f>
        <v>0</v>
      </c>
    </row>
    <row r="74" spans="1:32" ht="12.75">
      <c r="A74" s="5" t="s">
        <v>57</v>
      </c>
      <c r="B74" s="5" t="s">
        <v>152</v>
      </c>
      <c r="C74" s="5" t="s">
        <v>209</v>
      </c>
      <c r="D74" s="5" t="s">
        <v>377</v>
      </c>
      <c r="E74" s="5" t="s">
        <v>489</v>
      </c>
      <c r="F74" s="13">
        <v>2</v>
      </c>
      <c r="H74" s="13">
        <f t="shared" si="16"/>
        <v>0</v>
      </c>
      <c r="I74" s="13">
        <f t="shared" si="17"/>
        <v>0</v>
      </c>
      <c r="J74" s="13">
        <f t="shared" si="18"/>
        <v>0</v>
      </c>
      <c r="K74" s="13">
        <v>0.00053</v>
      </c>
      <c r="L74" s="13">
        <f t="shared" si="19"/>
        <v>0.00106</v>
      </c>
      <c r="N74" s="25" t="s">
        <v>7</v>
      </c>
      <c r="O74" s="13">
        <f t="shared" si="20"/>
        <v>0</v>
      </c>
      <c r="Z74" s="13">
        <f t="shared" si="21"/>
        <v>0</v>
      </c>
      <c r="AA74" s="13">
        <f t="shared" si="22"/>
        <v>0</v>
      </c>
      <c r="AB74" s="13">
        <f t="shared" si="23"/>
        <v>0</v>
      </c>
      <c r="AD74" s="13">
        <v>20</v>
      </c>
      <c r="AE74" s="13">
        <f>G74*0.905670237784165</f>
        <v>0</v>
      </c>
      <c r="AF74" s="13">
        <f>G74*(1-0.905670237784165)</f>
        <v>0</v>
      </c>
    </row>
    <row r="75" spans="1:32" ht="12.75">
      <c r="A75" s="5" t="s">
        <v>58</v>
      </c>
      <c r="B75" s="5" t="s">
        <v>152</v>
      </c>
      <c r="C75" s="5" t="s">
        <v>210</v>
      </c>
      <c r="D75" s="5" t="s">
        <v>378</v>
      </c>
      <c r="E75" s="5" t="s">
        <v>490</v>
      </c>
      <c r="F75" s="13">
        <v>1</v>
      </c>
      <c r="H75" s="13">
        <f t="shared" si="16"/>
        <v>0</v>
      </c>
      <c r="I75" s="13">
        <f t="shared" si="17"/>
        <v>0</v>
      </c>
      <c r="J75" s="13">
        <f t="shared" si="18"/>
        <v>0</v>
      </c>
      <c r="K75" s="13">
        <v>0</v>
      </c>
      <c r="L75" s="13">
        <f t="shared" si="19"/>
        <v>0</v>
      </c>
      <c r="N75" s="25" t="s">
        <v>7</v>
      </c>
      <c r="O75" s="13">
        <f t="shared" si="20"/>
        <v>0</v>
      </c>
      <c r="Z75" s="13">
        <f t="shared" si="21"/>
        <v>0</v>
      </c>
      <c r="AA75" s="13">
        <f t="shared" si="22"/>
        <v>0</v>
      </c>
      <c r="AB75" s="13">
        <f t="shared" si="23"/>
        <v>0</v>
      </c>
      <c r="AD75" s="13">
        <v>20</v>
      </c>
      <c r="AE75" s="13">
        <f>G75*0</f>
        <v>0</v>
      </c>
      <c r="AF75" s="13">
        <f>G75*(1-0)</f>
        <v>0</v>
      </c>
    </row>
    <row r="76" spans="1:32" ht="12.75">
      <c r="A76" s="5" t="s">
        <v>59</v>
      </c>
      <c r="B76" s="5" t="s">
        <v>152</v>
      </c>
      <c r="C76" s="5" t="s">
        <v>211</v>
      </c>
      <c r="D76" s="5" t="s">
        <v>379</v>
      </c>
      <c r="E76" s="5" t="s">
        <v>488</v>
      </c>
      <c r="F76" s="13">
        <v>2</v>
      </c>
      <c r="H76" s="13">
        <f t="shared" si="16"/>
        <v>0</v>
      </c>
      <c r="I76" s="13">
        <f t="shared" si="17"/>
        <v>0</v>
      </c>
      <c r="J76" s="13">
        <f t="shared" si="18"/>
        <v>0</v>
      </c>
      <c r="K76" s="13">
        <v>0</v>
      </c>
      <c r="L76" s="13">
        <f t="shared" si="19"/>
        <v>0</v>
      </c>
      <c r="N76" s="25" t="s">
        <v>7</v>
      </c>
      <c r="O76" s="13">
        <f t="shared" si="20"/>
        <v>0</v>
      </c>
      <c r="Z76" s="13">
        <f t="shared" si="21"/>
        <v>0</v>
      </c>
      <c r="AA76" s="13">
        <f t="shared" si="22"/>
        <v>0</v>
      </c>
      <c r="AB76" s="13">
        <f t="shared" si="23"/>
        <v>0</v>
      </c>
      <c r="AD76" s="13">
        <v>20</v>
      </c>
      <c r="AE76" s="13">
        <f>G76*0</f>
        <v>0</v>
      </c>
      <c r="AF76" s="13">
        <f>G76*(1-0)</f>
        <v>0</v>
      </c>
    </row>
    <row r="77" spans="1:32" ht="12.75">
      <c r="A77" s="5" t="s">
        <v>60</v>
      </c>
      <c r="B77" s="5" t="s">
        <v>152</v>
      </c>
      <c r="C77" s="5" t="s">
        <v>212</v>
      </c>
      <c r="D77" s="5" t="s">
        <v>380</v>
      </c>
      <c r="E77" s="5" t="s">
        <v>488</v>
      </c>
      <c r="F77" s="13">
        <v>2.06036</v>
      </c>
      <c r="H77" s="13">
        <f t="shared" si="16"/>
        <v>0</v>
      </c>
      <c r="I77" s="13">
        <f t="shared" si="17"/>
        <v>0</v>
      </c>
      <c r="J77" s="13">
        <f t="shared" si="18"/>
        <v>0</v>
      </c>
      <c r="K77" s="13">
        <v>0</v>
      </c>
      <c r="L77" s="13">
        <f t="shared" si="19"/>
        <v>0</v>
      </c>
      <c r="N77" s="25" t="s">
        <v>11</v>
      </c>
      <c r="O77" s="13">
        <f t="shared" si="20"/>
        <v>0</v>
      </c>
      <c r="Z77" s="13">
        <f t="shared" si="21"/>
        <v>0</v>
      </c>
      <c r="AA77" s="13">
        <f t="shared" si="22"/>
        <v>0</v>
      </c>
      <c r="AB77" s="13">
        <f t="shared" si="23"/>
        <v>0</v>
      </c>
      <c r="AD77" s="13">
        <v>20</v>
      </c>
      <c r="AE77" s="13">
        <f>G77*0</f>
        <v>0</v>
      </c>
      <c r="AF77" s="13">
        <f>G77*(1-0)</f>
        <v>0</v>
      </c>
    </row>
    <row r="78" spans="1:32" ht="12.75">
      <c r="A78" s="5" t="s">
        <v>61</v>
      </c>
      <c r="B78" s="5" t="s">
        <v>152</v>
      </c>
      <c r="C78" s="5" t="s">
        <v>213</v>
      </c>
      <c r="D78" s="5" t="s">
        <v>381</v>
      </c>
      <c r="E78" s="5" t="s">
        <v>488</v>
      </c>
      <c r="F78" s="13">
        <v>2.06036</v>
      </c>
      <c r="H78" s="13">
        <f t="shared" si="16"/>
        <v>0</v>
      </c>
      <c r="I78" s="13">
        <f t="shared" si="17"/>
        <v>0</v>
      </c>
      <c r="J78" s="13">
        <f t="shared" si="18"/>
        <v>0</v>
      </c>
      <c r="K78" s="13">
        <v>0</v>
      </c>
      <c r="L78" s="13">
        <f t="shared" si="19"/>
        <v>0</v>
      </c>
      <c r="N78" s="25" t="s">
        <v>11</v>
      </c>
      <c r="O78" s="13">
        <f t="shared" si="20"/>
        <v>0</v>
      </c>
      <c r="Z78" s="13">
        <f t="shared" si="21"/>
        <v>0</v>
      </c>
      <c r="AA78" s="13">
        <f t="shared" si="22"/>
        <v>0</v>
      </c>
      <c r="AB78" s="13">
        <f t="shared" si="23"/>
        <v>0</v>
      </c>
      <c r="AD78" s="13">
        <v>20</v>
      </c>
      <c r="AE78" s="13">
        <f>G78*0</f>
        <v>0</v>
      </c>
      <c r="AF78" s="13">
        <f>G78*(1-0)</f>
        <v>0</v>
      </c>
    </row>
    <row r="79" spans="1:37" ht="12.75">
      <c r="A79" s="4"/>
      <c r="B79" s="4"/>
      <c r="C79" s="11" t="s">
        <v>214</v>
      </c>
      <c r="D79" s="49" t="s">
        <v>382</v>
      </c>
      <c r="E79" s="50"/>
      <c r="F79" s="50"/>
      <c r="G79" s="50"/>
      <c r="H79" s="27">
        <f>SUM(H80:H102)</f>
        <v>0</v>
      </c>
      <c r="I79" s="27">
        <f>SUM(I80:I102)</f>
        <v>0</v>
      </c>
      <c r="J79" s="27">
        <f>H79+I79</f>
        <v>0</v>
      </c>
      <c r="K79" s="22"/>
      <c r="L79" s="27">
        <f>SUM(L80:L102)</f>
        <v>1.14895</v>
      </c>
      <c r="P79" s="27">
        <f>IF(Q79="PR",J79,SUM(O80:O102))</f>
        <v>0</v>
      </c>
      <c r="Q79" s="22" t="s">
        <v>515</v>
      </c>
      <c r="R79" s="27">
        <f>IF(Q79="HS",H79,0)</f>
        <v>0</v>
      </c>
      <c r="S79" s="27">
        <f>IF(Q79="HS",I79-P79,0)</f>
        <v>0</v>
      </c>
      <c r="T79" s="27">
        <f>IF(Q79="PS",H79,0)</f>
        <v>0</v>
      </c>
      <c r="U79" s="27">
        <f>IF(Q79="PS",I79-P79,0)</f>
        <v>0</v>
      </c>
      <c r="V79" s="27">
        <f>IF(Q79="MP",H79,0)</f>
        <v>0</v>
      </c>
      <c r="W79" s="27">
        <f>IF(Q79="MP",I79-P79,0)</f>
        <v>0</v>
      </c>
      <c r="X79" s="27">
        <f>IF(Q79="OM",H79,0)</f>
        <v>0</v>
      </c>
      <c r="Y79" s="22" t="s">
        <v>152</v>
      </c>
      <c r="AI79" s="27">
        <f>SUM(Z80:Z102)</f>
        <v>0</v>
      </c>
      <c r="AJ79" s="27">
        <f>SUM(AA80:AA102)</f>
        <v>0</v>
      </c>
      <c r="AK79" s="27">
        <f>SUM(AB80:AB102)</f>
        <v>0</v>
      </c>
    </row>
    <row r="80" spans="1:32" ht="12.75">
      <c r="A80" s="5" t="s">
        <v>62</v>
      </c>
      <c r="B80" s="5" t="s">
        <v>152</v>
      </c>
      <c r="C80" s="5" t="s">
        <v>215</v>
      </c>
      <c r="D80" s="5" t="s">
        <v>383</v>
      </c>
      <c r="E80" s="5" t="s">
        <v>493</v>
      </c>
      <c r="F80" s="13">
        <v>2</v>
      </c>
      <c r="H80" s="13">
        <f aca="true" t="shared" si="24" ref="H80:H102">ROUND(F80*AE80,2)</f>
        <v>0</v>
      </c>
      <c r="I80" s="13">
        <f aca="true" t="shared" si="25" ref="I80:I102">J80-H80</f>
        <v>0</v>
      </c>
      <c r="J80" s="13">
        <f aca="true" t="shared" si="26" ref="J80:J102">ROUND(F80*G80,2)</f>
        <v>0</v>
      </c>
      <c r="K80" s="13">
        <v>0</v>
      </c>
      <c r="L80" s="13">
        <f aca="true" t="shared" si="27" ref="L80:L102">F80*K80</f>
        <v>0</v>
      </c>
      <c r="N80" s="25" t="s">
        <v>511</v>
      </c>
      <c r="O80" s="13">
        <f aca="true" t="shared" si="28" ref="O80:O102">IF(N80="5",I80,0)</f>
        <v>0</v>
      </c>
      <c r="Z80" s="13">
        <f aca="true" t="shared" si="29" ref="Z80:Z102">IF(AD80=0,J80,0)</f>
        <v>0</v>
      </c>
      <c r="AA80" s="13">
        <f aca="true" t="shared" si="30" ref="AA80:AA102">IF(AD80=10,J80,0)</f>
        <v>0</v>
      </c>
      <c r="AB80" s="13">
        <f aca="true" t="shared" si="31" ref="AB80:AB102">IF(AD80=20,J80,0)</f>
        <v>0</v>
      </c>
      <c r="AD80" s="13">
        <v>20</v>
      </c>
      <c r="AE80" s="13">
        <f aca="true" t="shared" si="32" ref="AE80:AE89">G80*1</f>
        <v>0</v>
      </c>
      <c r="AF80" s="13">
        <f aca="true" t="shared" si="33" ref="AF80:AF89">G80*(1-1)</f>
        <v>0</v>
      </c>
    </row>
    <row r="81" spans="1:32" ht="12.75">
      <c r="A81" s="5" t="s">
        <v>63</v>
      </c>
      <c r="B81" s="5" t="s">
        <v>152</v>
      </c>
      <c r="C81" s="5" t="s">
        <v>216</v>
      </c>
      <c r="D81" s="5" t="s">
        <v>384</v>
      </c>
      <c r="E81" s="5" t="s">
        <v>493</v>
      </c>
      <c r="F81" s="13">
        <v>1</v>
      </c>
      <c r="H81" s="13">
        <f t="shared" si="24"/>
        <v>0</v>
      </c>
      <c r="I81" s="13">
        <f t="shared" si="25"/>
        <v>0</v>
      </c>
      <c r="J81" s="13">
        <f t="shared" si="26"/>
        <v>0</v>
      </c>
      <c r="K81" s="13">
        <v>0</v>
      </c>
      <c r="L81" s="13">
        <f t="shared" si="27"/>
        <v>0</v>
      </c>
      <c r="N81" s="25" t="s">
        <v>511</v>
      </c>
      <c r="O81" s="13">
        <f t="shared" si="28"/>
        <v>0</v>
      </c>
      <c r="Z81" s="13">
        <f t="shared" si="29"/>
        <v>0</v>
      </c>
      <c r="AA81" s="13">
        <f t="shared" si="30"/>
        <v>0</v>
      </c>
      <c r="AB81" s="13">
        <f t="shared" si="31"/>
        <v>0</v>
      </c>
      <c r="AD81" s="13">
        <v>20</v>
      </c>
      <c r="AE81" s="13">
        <f t="shared" si="32"/>
        <v>0</v>
      </c>
      <c r="AF81" s="13">
        <f t="shared" si="33"/>
        <v>0</v>
      </c>
    </row>
    <row r="82" spans="1:32" ht="12.75">
      <c r="A82" s="5" t="s">
        <v>64</v>
      </c>
      <c r="B82" s="5" t="s">
        <v>152</v>
      </c>
      <c r="C82" s="5" t="s">
        <v>217</v>
      </c>
      <c r="D82" s="5" t="s">
        <v>385</v>
      </c>
      <c r="E82" s="5" t="s">
        <v>492</v>
      </c>
      <c r="F82" s="13">
        <v>1</v>
      </c>
      <c r="H82" s="13">
        <f t="shared" si="24"/>
        <v>0</v>
      </c>
      <c r="I82" s="13">
        <f t="shared" si="25"/>
        <v>0</v>
      </c>
      <c r="J82" s="13">
        <f t="shared" si="26"/>
        <v>0</v>
      </c>
      <c r="K82" s="13">
        <v>0.16</v>
      </c>
      <c r="L82" s="13">
        <f t="shared" si="27"/>
        <v>0.16</v>
      </c>
      <c r="N82" s="25" t="s">
        <v>511</v>
      </c>
      <c r="O82" s="13">
        <f t="shared" si="28"/>
        <v>0</v>
      </c>
      <c r="Z82" s="13">
        <f t="shared" si="29"/>
        <v>0</v>
      </c>
      <c r="AA82" s="13">
        <f t="shared" si="30"/>
        <v>0</v>
      </c>
      <c r="AB82" s="13">
        <f t="shared" si="31"/>
        <v>0</v>
      </c>
      <c r="AD82" s="13">
        <v>20</v>
      </c>
      <c r="AE82" s="13">
        <f t="shared" si="32"/>
        <v>0</v>
      </c>
      <c r="AF82" s="13">
        <f t="shared" si="33"/>
        <v>0</v>
      </c>
    </row>
    <row r="83" spans="1:32" ht="12.75">
      <c r="A83" s="5" t="s">
        <v>65</v>
      </c>
      <c r="B83" s="5" t="s">
        <v>152</v>
      </c>
      <c r="C83" s="5" t="s">
        <v>218</v>
      </c>
      <c r="D83" s="5" t="s">
        <v>386</v>
      </c>
      <c r="E83" s="5" t="s">
        <v>492</v>
      </c>
      <c r="F83" s="13">
        <v>1</v>
      </c>
      <c r="H83" s="13">
        <f t="shared" si="24"/>
        <v>0</v>
      </c>
      <c r="I83" s="13">
        <f t="shared" si="25"/>
        <v>0</v>
      </c>
      <c r="J83" s="13">
        <f t="shared" si="26"/>
        <v>0</v>
      </c>
      <c r="K83" s="13">
        <v>0</v>
      </c>
      <c r="L83" s="13">
        <f t="shared" si="27"/>
        <v>0</v>
      </c>
      <c r="N83" s="25" t="s">
        <v>511</v>
      </c>
      <c r="O83" s="13">
        <f t="shared" si="28"/>
        <v>0</v>
      </c>
      <c r="Z83" s="13">
        <f t="shared" si="29"/>
        <v>0</v>
      </c>
      <c r="AA83" s="13">
        <f t="shared" si="30"/>
        <v>0</v>
      </c>
      <c r="AB83" s="13">
        <f t="shared" si="31"/>
        <v>0</v>
      </c>
      <c r="AD83" s="13">
        <v>20</v>
      </c>
      <c r="AE83" s="13">
        <f t="shared" si="32"/>
        <v>0</v>
      </c>
      <c r="AF83" s="13">
        <f t="shared" si="33"/>
        <v>0</v>
      </c>
    </row>
    <row r="84" spans="1:32" ht="12.75">
      <c r="A84" s="5" t="s">
        <v>66</v>
      </c>
      <c r="B84" s="5" t="s">
        <v>152</v>
      </c>
      <c r="C84" s="5" t="s">
        <v>219</v>
      </c>
      <c r="D84" s="5" t="s">
        <v>387</v>
      </c>
      <c r="E84" s="5" t="s">
        <v>492</v>
      </c>
      <c r="F84" s="13">
        <v>2</v>
      </c>
      <c r="H84" s="13">
        <f t="shared" si="24"/>
        <v>0</v>
      </c>
      <c r="I84" s="13">
        <f t="shared" si="25"/>
        <v>0</v>
      </c>
      <c r="J84" s="13">
        <f t="shared" si="26"/>
        <v>0</v>
      </c>
      <c r="K84" s="13">
        <v>0</v>
      </c>
      <c r="L84" s="13">
        <f t="shared" si="27"/>
        <v>0</v>
      </c>
      <c r="N84" s="25" t="s">
        <v>511</v>
      </c>
      <c r="O84" s="13">
        <f t="shared" si="28"/>
        <v>0</v>
      </c>
      <c r="Z84" s="13">
        <f t="shared" si="29"/>
        <v>0</v>
      </c>
      <c r="AA84" s="13">
        <f t="shared" si="30"/>
        <v>0</v>
      </c>
      <c r="AB84" s="13">
        <f t="shared" si="31"/>
        <v>0</v>
      </c>
      <c r="AD84" s="13">
        <v>20</v>
      </c>
      <c r="AE84" s="13">
        <f t="shared" si="32"/>
        <v>0</v>
      </c>
      <c r="AF84" s="13">
        <f t="shared" si="33"/>
        <v>0</v>
      </c>
    </row>
    <row r="85" spans="1:32" ht="12.75">
      <c r="A85" s="5" t="s">
        <v>67</v>
      </c>
      <c r="B85" s="5" t="s">
        <v>152</v>
      </c>
      <c r="C85" s="5" t="s">
        <v>220</v>
      </c>
      <c r="D85" s="5" t="s">
        <v>388</v>
      </c>
      <c r="E85" s="5" t="s">
        <v>490</v>
      </c>
      <c r="F85" s="13">
        <v>1</v>
      </c>
      <c r="H85" s="13">
        <f t="shared" si="24"/>
        <v>0</v>
      </c>
      <c r="I85" s="13">
        <f t="shared" si="25"/>
        <v>0</v>
      </c>
      <c r="J85" s="13">
        <f t="shared" si="26"/>
        <v>0</v>
      </c>
      <c r="K85" s="13">
        <v>0.011</v>
      </c>
      <c r="L85" s="13">
        <f t="shared" si="27"/>
        <v>0.011</v>
      </c>
      <c r="N85" s="25" t="s">
        <v>511</v>
      </c>
      <c r="O85" s="13">
        <f t="shared" si="28"/>
        <v>0</v>
      </c>
      <c r="Z85" s="13">
        <f t="shared" si="29"/>
        <v>0</v>
      </c>
      <c r="AA85" s="13">
        <f t="shared" si="30"/>
        <v>0</v>
      </c>
      <c r="AB85" s="13">
        <f t="shared" si="31"/>
        <v>0</v>
      </c>
      <c r="AD85" s="13">
        <v>20</v>
      </c>
      <c r="AE85" s="13">
        <f t="shared" si="32"/>
        <v>0</v>
      </c>
      <c r="AF85" s="13">
        <f t="shared" si="33"/>
        <v>0</v>
      </c>
    </row>
    <row r="86" spans="1:32" ht="12.75">
      <c r="A86" s="5" t="s">
        <v>68</v>
      </c>
      <c r="B86" s="5" t="s">
        <v>152</v>
      </c>
      <c r="C86" s="5" t="s">
        <v>221</v>
      </c>
      <c r="D86" s="5" t="s">
        <v>389</v>
      </c>
      <c r="E86" s="5" t="s">
        <v>494</v>
      </c>
      <c r="F86" s="13">
        <v>1</v>
      </c>
      <c r="H86" s="13">
        <f t="shared" si="24"/>
        <v>0</v>
      </c>
      <c r="I86" s="13">
        <f t="shared" si="25"/>
        <v>0</v>
      </c>
      <c r="J86" s="13">
        <f t="shared" si="26"/>
        <v>0</v>
      </c>
      <c r="K86" s="13">
        <v>0.022</v>
      </c>
      <c r="L86" s="13">
        <f t="shared" si="27"/>
        <v>0.022</v>
      </c>
      <c r="N86" s="25" t="s">
        <v>511</v>
      </c>
      <c r="O86" s="13">
        <f t="shared" si="28"/>
        <v>0</v>
      </c>
      <c r="Z86" s="13">
        <f t="shared" si="29"/>
        <v>0</v>
      </c>
      <c r="AA86" s="13">
        <f t="shared" si="30"/>
        <v>0</v>
      </c>
      <c r="AB86" s="13">
        <f t="shared" si="31"/>
        <v>0</v>
      </c>
      <c r="AD86" s="13">
        <v>20</v>
      </c>
      <c r="AE86" s="13">
        <f t="shared" si="32"/>
        <v>0</v>
      </c>
      <c r="AF86" s="13">
        <f t="shared" si="33"/>
        <v>0</v>
      </c>
    </row>
    <row r="87" spans="1:32" ht="12.75">
      <c r="A87" s="5" t="s">
        <v>69</v>
      </c>
      <c r="B87" s="5" t="s">
        <v>152</v>
      </c>
      <c r="C87" s="5" t="s">
        <v>222</v>
      </c>
      <c r="D87" s="5" t="s">
        <v>390</v>
      </c>
      <c r="E87" s="5" t="s">
        <v>493</v>
      </c>
      <c r="F87" s="13">
        <v>1</v>
      </c>
      <c r="H87" s="13">
        <f t="shared" si="24"/>
        <v>0</v>
      </c>
      <c r="I87" s="13">
        <f t="shared" si="25"/>
        <v>0</v>
      </c>
      <c r="J87" s="13">
        <f t="shared" si="26"/>
        <v>0</v>
      </c>
      <c r="K87" s="13">
        <v>0</v>
      </c>
      <c r="L87" s="13">
        <f t="shared" si="27"/>
        <v>0</v>
      </c>
      <c r="N87" s="25" t="s">
        <v>511</v>
      </c>
      <c r="O87" s="13">
        <f t="shared" si="28"/>
        <v>0</v>
      </c>
      <c r="Z87" s="13">
        <f t="shared" si="29"/>
        <v>0</v>
      </c>
      <c r="AA87" s="13">
        <f t="shared" si="30"/>
        <v>0</v>
      </c>
      <c r="AB87" s="13">
        <f t="shared" si="31"/>
        <v>0</v>
      </c>
      <c r="AD87" s="13">
        <v>20</v>
      </c>
      <c r="AE87" s="13">
        <f t="shared" si="32"/>
        <v>0</v>
      </c>
      <c r="AF87" s="13">
        <f t="shared" si="33"/>
        <v>0</v>
      </c>
    </row>
    <row r="88" spans="1:32" ht="12.75">
      <c r="A88" s="5" t="s">
        <v>70</v>
      </c>
      <c r="B88" s="5" t="s">
        <v>152</v>
      </c>
      <c r="C88" s="5" t="s">
        <v>223</v>
      </c>
      <c r="D88" s="5" t="s">
        <v>391</v>
      </c>
      <c r="E88" s="5" t="s">
        <v>493</v>
      </c>
      <c r="F88" s="13">
        <v>2</v>
      </c>
      <c r="H88" s="13">
        <f t="shared" si="24"/>
        <v>0</v>
      </c>
      <c r="I88" s="13">
        <f t="shared" si="25"/>
        <v>0</v>
      </c>
      <c r="J88" s="13">
        <f t="shared" si="26"/>
        <v>0</v>
      </c>
      <c r="K88" s="13">
        <v>0</v>
      </c>
      <c r="L88" s="13">
        <f t="shared" si="27"/>
        <v>0</v>
      </c>
      <c r="N88" s="25" t="s">
        <v>511</v>
      </c>
      <c r="O88" s="13">
        <f t="shared" si="28"/>
        <v>0</v>
      </c>
      <c r="Z88" s="13">
        <f t="shared" si="29"/>
        <v>0</v>
      </c>
      <c r="AA88" s="13">
        <f t="shared" si="30"/>
        <v>0</v>
      </c>
      <c r="AB88" s="13">
        <f t="shared" si="31"/>
        <v>0</v>
      </c>
      <c r="AD88" s="13">
        <v>20</v>
      </c>
      <c r="AE88" s="13">
        <f t="shared" si="32"/>
        <v>0</v>
      </c>
      <c r="AF88" s="13">
        <f t="shared" si="33"/>
        <v>0</v>
      </c>
    </row>
    <row r="89" spans="1:32" ht="12.75">
      <c r="A89" s="5" t="s">
        <v>71</v>
      </c>
      <c r="B89" s="5" t="s">
        <v>152</v>
      </c>
      <c r="C89" s="5" t="s">
        <v>224</v>
      </c>
      <c r="D89" s="5" t="s">
        <v>392</v>
      </c>
      <c r="E89" s="5" t="s">
        <v>493</v>
      </c>
      <c r="F89" s="13">
        <v>3</v>
      </c>
      <c r="H89" s="13">
        <f t="shared" si="24"/>
        <v>0</v>
      </c>
      <c r="I89" s="13">
        <f t="shared" si="25"/>
        <v>0</v>
      </c>
      <c r="J89" s="13">
        <f t="shared" si="26"/>
        <v>0</v>
      </c>
      <c r="K89" s="13">
        <v>0</v>
      </c>
      <c r="L89" s="13">
        <f t="shared" si="27"/>
        <v>0</v>
      </c>
      <c r="N89" s="25" t="s">
        <v>511</v>
      </c>
      <c r="O89" s="13">
        <f t="shared" si="28"/>
        <v>0</v>
      </c>
      <c r="Z89" s="13">
        <f t="shared" si="29"/>
        <v>0</v>
      </c>
      <c r="AA89" s="13">
        <f t="shared" si="30"/>
        <v>0</v>
      </c>
      <c r="AB89" s="13">
        <f t="shared" si="31"/>
        <v>0</v>
      </c>
      <c r="AD89" s="13">
        <v>20</v>
      </c>
      <c r="AE89" s="13">
        <f t="shared" si="32"/>
        <v>0</v>
      </c>
      <c r="AF89" s="13">
        <f t="shared" si="33"/>
        <v>0</v>
      </c>
    </row>
    <row r="90" spans="1:32" ht="12.75">
      <c r="A90" s="5" t="s">
        <v>72</v>
      </c>
      <c r="B90" s="5" t="s">
        <v>152</v>
      </c>
      <c r="C90" s="5" t="s">
        <v>225</v>
      </c>
      <c r="D90" s="5" t="s">
        <v>393</v>
      </c>
      <c r="E90" s="5" t="s">
        <v>489</v>
      </c>
      <c r="F90" s="13">
        <v>2</v>
      </c>
      <c r="H90" s="13">
        <f t="shared" si="24"/>
        <v>0</v>
      </c>
      <c r="I90" s="13">
        <f t="shared" si="25"/>
        <v>0</v>
      </c>
      <c r="J90" s="13">
        <f t="shared" si="26"/>
        <v>0</v>
      </c>
      <c r="K90" s="13">
        <v>0.09358</v>
      </c>
      <c r="L90" s="13">
        <f t="shared" si="27"/>
        <v>0.18716</v>
      </c>
      <c r="N90" s="25" t="s">
        <v>7</v>
      </c>
      <c r="O90" s="13">
        <f t="shared" si="28"/>
        <v>0</v>
      </c>
      <c r="Z90" s="13">
        <f t="shared" si="29"/>
        <v>0</v>
      </c>
      <c r="AA90" s="13">
        <f t="shared" si="30"/>
        <v>0</v>
      </c>
      <c r="AB90" s="13">
        <f t="shared" si="31"/>
        <v>0</v>
      </c>
      <c r="AD90" s="13">
        <v>20</v>
      </c>
      <c r="AE90" s="13">
        <f>G90*0</f>
        <v>0</v>
      </c>
      <c r="AF90" s="13">
        <f>G90*(1-0)</f>
        <v>0</v>
      </c>
    </row>
    <row r="91" spans="1:32" ht="12.75">
      <c r="A91" s="5" t="s">
        <v>73</v>
      </c>
      <c r="B91" s="5" t="s">
        <v>152</v>
      </c>
      <c r="C91" s="5" t="s">
        <v>226</v>
      </c>
      <c r="D91" s="5" t="s">
        <v>394</v>
      </c>
      <c r="E91" s="5" t="s">
        <v>490</v>
      </c>
      <c r="F91" s="13">
        <v>2</v>
      </c>
      <c r="H91" s="13">
        <f t="shared" si="24"/>
        <v>0</v>
      </c>
      <c r="I91" s="13">
        <f t="shared" si="25"/>
        <v>0</v>
      </c>
      <c r="J91" s="13">
        <f t="shared" si="26"/>
        <v>0</v>
      </c>
      <c r="K91" s="13">
        <v>0.06553</v>
      </c>
      <c r="L91" s="13">
        <f t="shared" si="27"/>
        <v>0.13106</v>
      </c>
      <c r="N91" s="25" t="s">
        <v>7</v>
      </c>
      <c r="O91" s="13">
        <f t="shared" si="28"/>
        <v>0</v>
      </c>
      <c r="Z91" s="13">
        <f t="shared" si="29"/>
        <v>0</v>
      </c>
      <c r="AA91" s="13">
        <f t="shared" si="30"/>
        <v>0</v>
      </c>
      <c r="AB91" s="13">
        <f t="shared" si="31"/>
        <v>0</v>
      </c>
      <c r="AD91" s="13">
        <v>20</v>
      </c>
      <c r="AE91" s="13">
        <f>G91*0.652240101806591</f>
        <v>0</v>
      </c>
      <c r="AF91" s="13">
        <f>G91*(1-0.652240101806591)</f>
        <v>0</v>
      </c>
    </row>
    <row r="92" spans="1:32" ht="12.75">
      <c r="A92" s="5" t="s">
        <v>74</v>
      </c>
      <c r="B92" s="5" t="s">
        <v>152</v>
      </c>
      <c r="C92" s="5" t="s">
        <v>227</v>
      </c>
      <c r="D92" s="5" t="s">
        <v>395</v>
      </c>
      <c r="E92" s="5" t="s">
        <v>491</v>
      </c>
      <c r="F92" s="13">
        <v>1</v>
      </c>
      <c r="H92" s="13">
        <f t="shared" si="24"/>
        <v>0</v>
      </c>
      <c r="I92" s="13">
        <f t="shared" si="25"/>
        <v>0</v>
      </c>
      <c r="J92" s="13">
        <f t="shared" si="26"/>
        <v>0</v>
      </c>
      <c r="K92" s="13">
        <v>0</v>
      </c>
      <c r="L92" s="13">
        <f t="shared" si="27"/>
        <v>0</v>
      </c>
      <c r="N92" s="25" t="s">
        <v>7</v>
      </c>
      <c r="O92" s="13">
        <f t="shared" si="28"/>
        <v>0</v>
      </c>
      <c r="Z92" s="13">
        <f t="shared" si="29"/>
        <v>0</v>
      </c>
      <c r="AA92" s="13">
        <f t="shared" si="30"/>
        <v>0</v>
      </c>
      <c r="AB92" s="13">
        <f t="shared" si="31"/>
        <v>0</v>
      </c>
      <c r="AD92" s="13">
        <v>20</v>
      </c>
      <c r="AE92" s="13">
        <f>G92*0.667391354493449</f>
        <v>0</v>
      </c>
      <c r="AF92" s="13">
        <f>G92*(1-0.667391354493449)</f>
        <v>0</v>
      </c>
    </row>
    <row r="93" spans="1:32" ht="12.75">
      <c r="A93" s="5" t="s">
        <v>75</v>
      </c>
      <c r="B93" s="5" t="s">
        <v>152</v>
      </c>
      <c r="C93" s="5" t="s">
        <v>228</v>
      </c>
      <c r="D93" s="5" t="s">
        <v>396</v>
      </c>
      <c r="E93" s="5" t="s">
        <v>490</v>
      </c>
      <c r="F93" s="13">
        <v>1</v>
      </c>
      <c r="H93" s="13">
        <f t="shared" si="24"/>
        <v>0</v>
      </c>
      <c r="I93" s="13">
        <f t="shared" si="25"/>
        <v>0</v>
      </c>
      <c r="J93" s="13">
        <f t="shared" si="26"/>
        <v>0</v>
      </c>
      <c r="K93" s="13">
        <v>0.51196</v>
      </c>
      <c r="L93" s="13">
        <f t="shared" si="27"/>
        <v>0.51196</v>
      </c>
      <c r="N93" s="25" t="s">
        <v>7</v>
      </c>
      <c r="O93" s="13">
        <f t="shared" si="28"/>
        <v>0</v>
      </c>
      <c r="Z93" s="13">
        <f t="shared" si="29"/>
        <v>0</v>
      </c>
      <c r="AA93" s="13">
        <f t="shared" si="30"/>
        <v>0</v>
      </c>
      <c r="AB93" s="13">
        <f t="shared" si="31"/>
        <v>0</v>
      </c>
      <c r="AD93" s="13">
        <v>20</v>
      </c>
      <c r="AE93" s="13">
        <f>G93*0</f>
        <v>0</v>
      </c>
      <c r="AF93" s="13">
        <f>G93*(1-0)</f>
        <v>0</v>
      </c>
    </row>
    <row r="94" spans="1:32" ht="12.75">
      <c r="A94" s="5" t="s">
        <v>76</v>
      </c>
      <c r="B94" s="5" t="s">
        <v>152</v>
      </c>
      <c r="C94" s="5" t="s">
        <v>229</v>
      </c>
      <c r="D94" s="5" t="s">
        <v>397</v>
      </c>
      <c r="E94" s="5" t="s">
        <v>490</v>
      </c>
      <c r="F94" s="13">
        <v>1</v>
      </c>
      <c r="H94" s="13">
        <f t="shared" si="24"/>
        <v>0</v>
      </c>
      <c r="I94" s="13">
        <f t="shared" si="25"/>
        <v>0</v>
      </c>
      <c r="J94" s="13">
        <f t="shared" si="26"/>
        <v>0</v>
      </c>
      <c r="K94" s="13">
        <v>0</v>
      </c>
      <c r="L94" s="13">
        <f t="shared" si="27"/>
        <v>0</v>
      </c>
      <c r="N94" s="25" t="s">
        <v>7</v>
      </c>
      <c r="O94" s="13">
        <f t="shared" si="28"/>
        <v>0</v>
      </c>
      <c r="Z94" s="13">
        <f t="shared" si="29"/>
        <v>0</v>
      </c>
      <c r="AA94" s="13">
        <f t="shared" si="30"/>
        <v>0</v>
      </c>
      <c r="AB94" s="13">
        <f t="shared" si="31"/>
        <v>0</v>
      </c>
      <c r="AD94" s="13">
        <v>20</v>
      </c>
      <c r="AE94" s="13">
        <f>G94*0</f>
        <v>0</v>
      </c>
      <c r="AF94" s="13">
        <f>G94*(1-0)</f>
        <v>0</v>
      </c>
    </row>
    <row r="95" spans="1:32" ht="12.75">
      <c r="A95" s="5" t="s">
        <v>77</v>
      </c>
      <c r="B95" s="5" t="s">
        <v>152</v>
      </c>
      <c r="C95" s="5" t="s">
        <v>230</v>
      </c>
      <c r="D95" s="5" t="s">
        <v>398</v>
      </c>
      <c r="E95" s="5" t="s">
        <v>490</v>
      </c>
      <c r="F95" s="13">
        <v>1</v>
      </c>
      <c r="H95" s="13">
        <f t="shared" si="24"/>
        <v>0</v>
      </c>
      <c r="I95" s="13">
        <f t="shared" si="25"/>
        <v>0</v>
      </c>
      <c r="J95" s="13">
        <f t="shared" si="26"/>
        <v>0</v>
      </c>
      <c r="K95" s="13">
        <v>0.028</v>
      </c>
      <c r="L95" s="13">
        <f t="shared" si="27"/>
        <v>0.028</v>
      </c>
      <c r="N95" s="25" t="s">
        <v>7</v>
      </c>
      <c r="O95" s="13">
        <f t="shared" si="28"/>
        <v>0</v>
      </c>
      <c r="Z95" s="13">
        <f t="shared" si="29"/>
        <v>0</v>
      </c>
      <c r="AA95" s="13">
        <f t="shared" si="30"/>
        <v>0</v>
      </c>
      <c r="AB95" s="13">
        <f t="shared" si="31"/>
        <v>0</v>
      </c>
      <c r="AD95" s="13">
        <v>20</v>
      </c>
      <c r="AE95" s="13">
        <f>G95*0.00982121573301549</f>
        <v>0</v>
      </c>
      <c r="AF95" s="13">
        <f>G95*(1-0.00982121573301549)</f>
        <v>0</v>
      </c>
    </row>
    <row r="96" spans="1:32" ht="12.75">
      <c r="A96" s="5" t="s">
        <v>78</v>
      </c>
      <c r="B96" s="5" t="s">
        <v>152</v>
      </c>
      <c r="C96" s="5" t="s">
        <v>231</v>
      </c>
      <c r="D96" s="5" t="s">
        <v>399</v>
      </c>
      <c r="E96" s="5" t="s">
        <v>491</v>
      </c>
      <c r="F96" s="13">
        <v>1</v>
      </c>
      <c r="H96" s="13">
        <f t="shared" si="24"/>
        <v>0</v>
      </c>
      <c r="I96" s="13">
        <f t="shared" si="25"/>
        <v>0</v>
      </c>
      <c r="J96" s="13">
        <f t="shared" si="26"/>
        <v>0</v>
      </c>
      <c r="K96" s="13">
        <v>0.01031</v>
      </c>
      <c r="L96" s="13">
        <f t="shared" si="27"/>
        <v>0.01031</v>
      </c>
      <c r="N96" s="25" t="s">
        <v>7</v>
      </c>
      <c r="O96" s="13">
        <f t="shared" si="28"/>
        <v>0</v>
      </c>
      <c r="Z96" s="13">
        <f t="shared" si="29"/>
        <v>0</v>
      </c>
      <c r="AA96" s="13">
        <f t="shared" si="30"/>
        <v>0</v>
      </c>
      <c r="AB96" s="13">
        <f t="shared" si="31"/>
        <v>0</v>
      </c>
      <c r="AD96" s="13">
        <v>20</v>
      </c>
      <c r="AE96" s="13">
        <f>G96*0.608162974049522</f>
        <v>0</v>
      </c>
      <c r="AF96" s="13">
        <f>G96*(1-0.608162974049522)</f>
        <v>0</v>
      </c>
    </row>
    <row r="97" spans="1:32" ht="12.75">
      <c r="A97" s="5" t="s">
        <v>79</v>
      </c>
      <c r="B97" s="5" t="s">
        <v>152</v>
      </c>
      <c r="C97" s="5" t="s">
        <v>232</v>
      </c>
      <c r="D97" s="5" t="s">
        <v>400</v>
      </c>
      <c r="E97" s="5" t="s">
        <v>491</v>
      </c>
      <c r="F97" s="13">
        <v>1</v>
      </c>
      <c r="H97" s="13">
        <f t="shared" si="24"/>
        <v>0</v>
      </c>
      <c r="I97" s="13">
        <f t="shared" si="25"/>
        <v>0</v>
      </c>
      <c r="J97" s="13">
        <f t="shared" si="26"/>
        <v>0</v>
      </c>
      <c r="K97" s="13">
        <v>0.00081</v>
      </c>
      <c r="L97" s="13">
        <f t="shared" si="27"/>
        <v>0.00081</v>
      </c>
      <c r="N97" s="25" t="s">
        <v>7</v>
      </c>
      <c r="O97" s="13">
        <f t="shared" si="28"/>
        <v>0</v>
      </c>
      <c r="Z97" s="13">
        <f t="shared" si="29"/>
        <v>0</v>
      </c>
      <c r="AA97" s="13">
        <f t="shared" si="30"/>
        <v>0</v>
      </c>
      <c r="AB97" s="13">
        <f t="shared" si="31"/>
        <v>0</v>
      </c>
      <c r="AD97" s="13">
        <v>20</v>
      </c>
      <c r="AE97" s="13">
        <f>G97*0.287692022950213</f>
        <v>0</v>
      </c>
      <c r="AF97" s="13">
        <f>G97*(1-0.287692022950213)</f>
        <v>0</v>
      </c>
    </row>
    <row r="98" spans="1:32" ht="12.75">
      <c r="A98" s="5" t="s">
        <v>80</v>
      </c>
      <c r="B98" s="5" t="s">
        <v>152</v>
      </c>
      <c r="C98" s="5" t="s">
        <v>233</v>
      </c>
      <c r="D98" s="5" t="s">
        <v>401</v>
      </c>
      <c r="E98" s="5" t="s">
        <v>491</v>
      </c>
      <c r="F98" s="13">
        <v>7</v>
      </c>
      <c r="H98" s="13">
        <f t="shared" si="24"/>
        <v>0</v>
      </c>
      <c r="I98" s="13">
        <f t="shared" si="25"/>
        <v>0</v>
      </c>
      <c r="J98" s="13">
        <f t="shared" si="26"/>
        <v>0</v>
      </c>
      <c r="K98" s="13">
        <v>0.00288</v>
      </c>
      <c r="L98" s="13">
        <f t="shared" si="27"/>
        <v>0.02016</v>
      </c>
      <c r="N98" s="25" t="s">
        <v>7</v>
      </c>
      <c r="O98" s="13">
        <f t="shared" si="28"/>
        <v>0</v>
      </c>
      <c r="Z98" s="13">
        <f t="shared" si="29"/>
        <v>0</v>
      </c>
      <c r="AA98" s="13">
        <f t="shared" si="30"/>
        <v>0</v>
      </c>
      <c r="AB98" s="13">
        <f t="shared" si="31"/>
        <v>0</v>
      </c>
      <c r="AD98" s="13">
        <v>20</v>
      </c>
      <c r="AE98" s="13">
        <f>G98*0.368383435538974</f>
        <v>0</v>
      </c>
      <c r="AF98" s="13">
        <f>G98*(1-0.368383435538974)</f>
        <v>0</v>
      </c>
    </row>
    <row r="99" spans="1:32" ht="12.75">
      <c r="A99" s="5" t="s">
        <v>81</v>
      </c>
      <c r="B99" s="5" t="s">
        <v>152</v>
      </c>
      <c r="C99" s="5" t="s">
        <v>234</v>
      </c>
      <c r="D99" s="5" t="s">
        <v>402</v>
      </c>
      <c r="E99" s="5" t="s">
        <v>491</v>
      </c>
      <c r="F99" s="13">
        <v>1</v>
      </c>
      <c r="H99" s="13">
        <f t="shared" si="24"/>
        <v>0</v>
      </c>
      <c r="I99" s="13">
        <f t="shared" si="25"/>
        <v>0</v>
      </c>
      <c r="J99" s="13">
        <f t="shared" si="26"/>
        <v>0</v>
      </c>
      <c r="K99" s="13">
        <v>0.06649</v>
      </c>
      <c r="L99" s="13">
        <f t="shared" si="27"/>
        <v>0.06649</v>
      </c>
      <c r="N99" s="25" t="s">
        <v>7</v>
      </c>
      <c r="O99" s="13">
        <f t="shared" si="28"/>
        <v>0</v>
      </c>
      <c r="Z99" s="13">
        <f t="shared" si="29"/>
        <v>0</v>
      </c>
      <c r="AA99" s="13">
        <f t="shared" si="30"/>
        <v>0</v>
      </c>
      <c r="AB99" s="13">
        <f t="shared" si="31"/>
        <v>0</v>
      </c>
      <c r="AD99" s="13">
        <v>20</v>
      </c>
      <c r="AE99" s="13">
        <f>G99*0.96629698871929</f>
        <v>0</v>
      </c>
      <c r="AF99" s="13">
        <f>G99*(1-0.96629698871929)</f>
        <v>0</v>
      </c>
    </row>
    <row r="100" spans="1:32" ht="12.75">
      <c r="A100" s="5" t="s">
        <v>82</v>
      </c>
      <c r="B100" s="5" t="s">
        <v>152</v>
      </c>
      <c r="C100" s="5" t="s">
        <v>235</v>
      </c>
      <c r="D100" s="5" t="s">
        <v>403</v>
      </c>
      <c r="E100" s="5" t="s">
        <v>488</v>
      </c>
      <c r="F100" s="13">
        <v>0.727</v>
      </c>
      <c r="H100" s="13">
        <f t="shared" si="24"/>
        <v>0</v>
      </c>
      <c r="I100" s="13">
        <f t="shared" si="25"/>
        <v>0</v>
      </c>
      <c r="J100" s="13">
        <f t="shared" si="26"/>
        <v>0</v>
      </c>
      <c r="K100" s="13">
        <v>0</v>
      </c>
      <c r="L100" s="13">
        <f t="shared" si="27"/>
        <v>0</v>
      </c>
      <c r="N100" s="25" t="s">
        <v>7</v>
      </c>
      <c r="O100" s="13">
        <f t="shared" si="28"/>
        <v>0</v>
      </c>
      <c r="Z100" s="13">
        <f t="shared" si="29"/>
        <v>0</v>
      </c>
      <c r="AA100" s="13">
        <f t="shared" si="30"/>
        <v>0</v>
      </c>
      <c r="AB100" s="13">
        <f t="shared" si="31"/>
        <v>0</v>
      </c>
      <c r="AD100" s="13">
        <v>20</v>
      </c>
      <c r="AE100" s="13">
        <f>G100*0</f>
        <v>0</v>
      </c>
      <c r="AF100" s="13">
        <f>G100*(1-0)</f>
        <v>0</v>
      </c>
    </row>
    <row r="101" spans="1:32" ht="12.75">
      <c r="A101" s="5" t="s">
        <v>83</v>
      </c>
      <c r="B101" s="5" t="s">
        <v>152</v>
      </c>
      <c r="C101" s="5" t="s">
        <v>236</v>
      </c>
      <c r="D101" s="5" t="s">
        <v>404</v>
      </c>
      <c r="E101" s="5" t="s">
        <v>488</v>
      </c>
      <c r="F101" s="13">
        <v>1.149</v>
      </c>
      <c r="H101" s="13">
        <f t="shared" si="24"/>
        <v>0</v>
      </c>
      <c r="I101" s="13">
        <f t="shared" si="25"/>
        <v>0</v>
      </c>
      <c r="J101" s="13">
        <f t="shared" si="26"/>
        <v>0</v>
      </c>
      <c r="K101" s="13">
        <v>0</v>
      </c>
      <c r="L101" s="13">
        <f t="shared" si="27"/>
        <v>0</v>
      </c>
      <c r="N101" s="25" t="s">
        <v>11</v>
      </c>
      <c r="O101" s="13">
        <f t="shared" si="28"/>
        <v>0</v>
      </c>
      <c r="Z101" s="13">
        <f t="shared" si="29"/>
        <v>0</v>
      </c>
      <c r="AA101" s="13">
        <f t="shared" si="30"/>
        <v>0</v>
      </c>
      <c r="AB101" s="13">
        <f t="shared" si="31"/>
        <v>0</v>
      </c>
      <c r="AD101" s="13">
        <v>20</v>
      </c>
      <c r="AE101" s="13">
        <f>G101*0</f>
        <v>0</v>
      </c>
      <c r="AF101" s="13">
        <f>G101*(1-0)</f>
        <v>0</v>
      </c>
    </row>
    <row r="102" spans="1:32" ht="12.75">
      <c r="A102" s="5" t="s">
        <v>84</v>
      </c>
      <c r="B102" s="5" t="s">
        <v>152</v>
      </c>
      <c r="C102" s="5" t="s">
        <v>237</v>
      </c>
      <c r="D102" s="5" t="s">
        <v>405</v>
      </c>
      <c r="E102" s="5" t="s">
        <v>488</v>
      </c>
      <c r="F102" s="13">
        <v>1.149</v>
      </c>
      <c r="H102" s="13">
        <f t="shared" si="24"/>
        <v>0</v>
      </c>
      <c r="I102" s="13">
        <f t="shared" si="25"/>
        <v>0</v>
      </c>
      <c r="J102" s="13">
        <f t="shared" si="26"/>
        <v>0</v>
      </c>
      <c r="K102" s="13">
        <v>0</v>
      </c>
      <c r="L102" s="13">
        <f t="shared" si="27"/>
        <v>0</v>
      </c>
      <c r="N102" s="25" t="s">
        <v>11</v>
      </c>
      <c r="O102" s="13">
        <f t="shared" si="28"/>
        <v>0</v>
      </c>
      <c r="Z102" s="13">
        <f t="shared" si="29"/>
        <v>0</v>
      </c>
      <c r="AA102" s="13">
        <f t="shared" si="30"/>
        <v>0</v>
      </c>
      <c r="AB102" s="13">
        <f t="shared" si="31"/>
        <v>0</v>
      </c>
      <c r="AD102" s="13">
        <v>20</v>
      </c>
      <c r="AE102" s="13">
        <f>G102*0</f>
        <v>0</v>
      </c>
      <c r="AF102" s="13">
        <f>G102*(1-0)</f>
        <v>0</v>
      </c>
    </row>
    <row r="103" spans="1:37" ht="12.75">
      <c r="A103" s="4"/>
      <c r="B103" s="4"/>
      <c r="C103" s="11" t="s">
        <v>238</v>
      </c>
      <c r="D103" s="49" t="s">
        <v>406</v>
      </c>
      <c r="E103" s="50"/>
      <c r="F103" s="50"/>
      <c r="G103" s="50"/>
      <c r="H103" s="27">
        <f>SUM(H104:H119)</f>
        <v>0</v>
      </c>
      <c r="I103" s="27">
        <f>SUM(I104:I119)</f>
        <v>0</v>
      </c>
      <c r="J103" s="27">
        <f>H103+I103</f>
        <v>0</v>
      </c>
      <c r="K103" s="22"/>
      <c r="L103" s="27">
        <f>SUM(L104:L119)</f>
        <v>0.95712</v>
      </c>
      <c r="P103" s="27">
        <f>IF(Q103="PR",J103,SUM(O104:O119))</f>
        <v>0</v>
      </c>
      <c r="Q103" s="22" t="s">
        <v>515</v>
      </c>
      <c r="R103" s="27">
        <f>IF(Q103="HS",H103,0)</f>
        <v>0</v>
      </c>
      <c r="S103" s="27">
        <f>IF(Q103="HS",I103-P103,0)</f>
        <v>0</v>
      </c>
      <c r="T103" s="27">
        <f>IF(Q103="PS",H103,0)</f>
        <v>0</v>
      </c>
      <c r="U103" s="27">
        <f>IF(Q103="PS",I103-P103,0)</f>
        <v>0</v>
      </c>
      <c r="V103" s="27">
        <f>IF(Q103="MP",H103,0)</f>
        <v>0</v>
      </c>
      <c r="W103" s="27">
        <f>IF(Q103="MP",I103-P103,0)</f>
        <v>0</v>
      </c>
      <c r="X103" s="27">
        <f>IF(Q103="OM",H103,0)</f>
        <v>0</v>
      </c>
      <c r="Y103" s="22" t="s">
        <v>152</v>
      </c>
      <c r="AI103" s="27">
        <f>SUM(Z104:Z119)</f>
        <v>0</v>
      </c>
      <c r="AJ103" s="27">
        <f>SUM(AA104:AA119)</f>
        <v>0</v>
      </c>
      <c r="AK103" s="27">
        <f>SUM(AB104:AB119)</f>
        <v>0</v>
      </c>
    </row>
    <row r="104" spans="1:32" ht="12.75">
      <c r="A104" s="5" t="s">
        <v>85</v>
      </c>
      <c r="B104" s="5" t="s">
        <v>152</v>
      </c>
      <c r="C104" s="5" t="s">
        <v>239</v>
      </c>
      <c r="D104" s="5" t="s">
        <v>407</v>
      </c>
      <c r="E104" s="5" t="s">
        <v>489</v>
      </c>
      <c r="F104" s="13">
        <v>50</v>
      </c>
      <c r="H104" s="13">
        <f aca="true" t="shared" si="34" ref="H104:H119">ROUND(F104*AE104,2)</f>
        <v>0</v>
      </c>
      <c r="I104" s="13">
        <f aca="true" t="shared" si="35" ref="I104:I119">J104-H104</f>
        <v>0</v>
      </c>
      <c r="J104" s="13">
        <f aca="true" t="shared" si="36" ref="J104:J119">ROUND(F104*G104,2)</f>
        <v>0</v>
      </c>
      <c r="K104" s="13">
        <v>0.00086</v>
      </c>
      <c r="L104" s="13">
        <f aca="true" t="shared" si="37" ref="L104:L119">F104*K104</f>
        <v>0.043</v>
      </c>
      <c r="N104" s="25" t="s">
        <v>511</v>
      </c>
      <c r="O104" s="13">
        <f aca="true" t="shared" si="38" ref="O104:O119">IF(N104="5",I104,0)</f>
        <v>0</v>
      </c>
      <c r="Z104" s="13">
        <f aca="true" t="shared" si="39" ref="Z104:Z119">IF(AD104=0,J104,0)</f>
        <v>0</v>
      </c>
      <c r="AA104" s="13">
        <f aca="true" t="shared" si="40" ref="AA104:AA119">IF(AD104=10,J104,0)</f>
        <v>0</v>
      </c>
      <c r="AB104" s="13">
        <f aca="true" t="shared" si="41" ref="AB104:AB119">IF(AD104=20,J104,0)</f>
        <v>0</v>
      </c>
      <c r="AD104" s="13">
        <v>20</v>
      </c>
      <c r="AE104" s="13">
        <f>G104*1</f>
        <v>0</v>
      </c>
      <c r="AF104" s="13">
        <f>G104*(1-1)</f>
        <v>0</v>
      </c>
    </row>
    <row r="105" spans="1:32" ht="12.75">
      <c r="A105" s="5" t="s">
        <v>86</v>
      </c>
      <c r="B105" s="5" t="s">
        <v>152</v>
      </c>
      <c r="C105" s="5" t="s">
        <v>240</v>
      </c>
      <c r="D105" s="5" t="s">
        <v>408</v>
      </c>
      <c r="E105" s="5" t="s">
        <v>489</v>
      </c>
      <c r="F105" s="13">
        <v>90</v>
      </c>
      <c r="H105" s="13">
        <f t="shared" si="34"/>
        <v>0</v>
      </c>
      <c r="I105" s="13">
        <f t="shared" si="35"/>
        <v>0</v>
      </c>
      <c r="J105" s="13">
        <f t="shared" si="36"/>
        <v>0</v>
      </c>
      <c r="K105" s="13">
        <v>0.00141</v>
      </c>
      <c r="L105" s="13">
        <f t="shared" si="37"/>
        <v>0.1269</v>
      </c>
      <c r="N105" s="25" t="s">
        <v>511</v>
      </c>
      <c r="O105" s="13">
        <f t="shared" si="38"/>
        <v>0</v>
      </c>
      <c r="Z105" s="13">
        <f t="shared" si="39"/>
        <v>0</v>
      </c>
      <c r="AA105" s="13">
        <f t="shared" si="40"/>
        <v>0</v>
      </c>
      <c r="AB105" s="13">
        <f t="shared" si="41"/>
        <v>0</v>
      </c>
      <c r="AD105" s="13">
        <v>20</v>
      </c>
      <c r="AE105" s="13">
        <f>G105*1</f>
        <v>0</v>
      </c>
      <c r="AF105" s="13">
        <f>G105*(1-1)</f>
        <v>0</v>
      </c>
    </row>
    <row r="106" spans="1:32" ht="12.75">
      <c r="A106" s="5" t="s">
        <v>87</v>
      </c>
      <c r="B106" s="5" t="s">
        <v>152</v>
      </c>
      <c r="C106" s="5" t="s">
        <v>241</v>
      </c>
      <c r="D106" s="5" t="s">
        <v>409</v>
      </c>
      <c r="E106" s="5" t="s">
        <v>489</v>
      </c>
      <c r="F106" s="13">
        <v>20</v>
      </c>
      <c r="H106" s="13">
        <f t="shared" si="34"/>
        <v>0</v>
      </c>
      <c r="I106" s="13">
        <f t="shared" si="35"/>
        <v>0</v>
      </c>
      <c r="J106" s="13">
        <f t="shared" si="36"/>
        <v>0</v>
      </c>
      <c r="K106" s="13">
        <v>0.00291</v>
      </c>
      <c r="L106" s="13">
        <f t="shared" si="37"/>
        <v>0.058199999999999995</v>
      </c>
      <c r="N106" s="25" t="s">
        <v>511</v>
      </c>
      <c r="O106" s="13">
        <f t="shared" si="38"/>
        <v>0</v>
      </c>
      <c r="Z106" s="13">
        <f t="shared" si="39"/>
        <v>0</v>
      </c>
      <c r="AA106" s="13">
        <f t="shared" si="40"/>
        <v>0</v>
      </c>
      <c r="AB106" s="13">
        <f t="shared" si="41"/>
        <v>0</v>
      </c>
      <c r="AD106" s="13">
        <v>20</v>
      </c>
      <c r="AE106" s="13">
        <f>G106*1</f>
        <v>0</v>
      </c>
      <c r="AF106" s="13">
        <f>G106*(1-1)</f>
        <v>0</v>
      </c>
    </row>
    <row r="107" spans="1:32" ht="12.75">
      <c r="A107" s="5" t="s">
        <v>88</v>
      </c>
      <c r="B107" s="5" t="s">
        <v>152</v>
      </c>
      <c r="C107" s="5" t="s">
        <v>242</v>
      </c>
      <c r="D107" s="5" t="s">
        <v>410</v>
      </c>
      <c r="E107" s="5" t="s">
        <v>489</v>
      </c>
      <c r="F107" s="13">
        <v>10</v>
      </c>
      <c r="H107" s="13">
        <f t="shared" si="34"/>
        <v>0</v>
      </c>
      <c r="I107" s="13">
        <f t="shared" si="35"/>
        <v>0</v>
      </c>
      <c r="J107" s="13">
        <f t="shared" si="36"/>
        <v>0</v>
      </c>
      <c r="K107" s="13">
        <v>0.00532</v>
      </c>
      <c r="L107" s="13">
        <f t="shared" si="37"/>
        <v>0.0532</v>
      </c>
      <c r="N107" s="25" t="s">
        <v>7</v>
      </c>
      <c r="O107" s="13">
        <f t="shared" si="38"/>
        <v>0</v>
      </c>
      <c r="Z107" s="13">
        <f t="shared" si="39"/>
        <v>0</v>
      </c>
      <c r="AA107" s="13">
        <f t="shared" si="40"/>
        <v>0</v>
      </c>
      <c r="AB107" s="13">
        <f t="shared" si="41"/>
        <v>0</v>
      </c>
      <c r="AD107" s="13">
        <v>20</v>
      </c>
      <c r="AE107" s="13">
        <f>G107*0.241161320533833</f>
        <v>0</v>
      </c>
      <c r="AF107" s="13">
        <f>G107*(1-0.241161320533833)</f>
        <v>0</v>
      </c>
    </row>
    <row r="108" spans="1:32" ht="12.75">
      <c r="A108" s="5" t="s">
        <v>89</v>
      </c>
      <c r="B108" s="5" t="s">
        <v>152</v>
      </c>
      <c r="C108" s="5" t="s">
        <v>243</v>
      </c>
      <c r="D108" s="5" t="s">
        <v>411</v>
      </c>
      <c r="E108" s="5" t="s">
        <v>489</v>
      </c>
      <c r="F108" s="13">
        <v>10</v>
      </c>
      <c r="H108" s="13">
        <f t="shared" si="34"/>
        <v>0</v>
      </c>
      <c r="I108" s="13">
        <f t="shared" si="35"/>
        <v>0</v>
      </c>
      <c r="J108" s="13">
        <f t="shared" si="36"/>
        <v>0</v>
      </c>
      <c r="K108" s="13">
        <v>0.00858</v>
      </c>
      <c r="L108" s="13">
        <f t="shared" si="37"/>
        <v>0.08580000000000002</v>
      </c>
      <c r="N108" s="25" t="s">
        <v>7</v>
      </c>
      <c r="O108" s="13">
        <f t="shared" si="38"/>
        <v>0</v>
      </c>
      <c r="Z108" s="13">
        <f t="shared" si="39"/>
        <v>0</v>
      </c>
      <c r="AA108" s="13">
        <f t="shared" si="40"/>
        <v>0</v>
      </c>
      <c r="AB108" s="13">
        <f t="shared" si="41"/>
        <v>0</v>
      </c>
      <c r="AD108" s="13">
        <v>20</v>
      </c>
      <c r="AE108" s="13">
        <f>G108*0.378404296125815</f>
        <v>0</v>
      </c>
      <c r="AF108" s="13">
        <f>G108*(1-0.378404296125815)</f>
        <v>0</v>
      </c>
    </row>
    <row r="109" spans="1:32" ht="12.75">
      <c r="A109" s="5" t="s">
        <v>90</v>
      </c>
      <c r="B109" s="5" t="s">
        <v>152</v>
      </c>
      <c r="C109" s="5" t="s">
        <v>244</v>
      </c>
      <c r="D109" s="5" t="s">
        <v>412</v>
      </c>
      <c r="E109" s="5" t="s">
        <v>489</v>
      </c>
      <c r="F109" s="13">
        <v>50</v>
      </c>
      <c r="H109" s="13">
        <f t="shared" si="34"/>
        <v>0</v>
      </c>
      <c r="I109" s="13">
        <f t="shared" si="35"/>
        <v>0</v>
      </c>
      <c r="J109" s="13">
        <f t="shared" si="36"/>
        <v>0</v>
      </c>
      <c r="K109" s="13">
        <v>0.0063</v>
      </c>
      <c r="L109" s="13">
        <f t="shared" si="37"/>
        <v>0.315</v>
      </c>
      <c r="N109" s="25" t="s">
        <v>7</v>
      </c>
      <c r="O109" s="13">
        <f t="shared" si="38"/>
        <v>0</v>
      </c>
      <c r="Z109" s="13">
        <f t="shared" si="39"/>
        <v>0</v>
      </c>
      <c r="AA109" s="13">
        <f t="shared" si="40"/>
        <v>0</v>
      </c>
      <c r="AB109" s="13">
        <f t="shared" si="41"/>
        <v>0</v>
      </c>
      <c r="AD109" s="13">
        <v>20</v>
      </c>
      <c r="AE109" s="13">
        <f>G109*0.206793440171939</f>
        <v>0</v>
      </c>
      <c r="AF109" s="13">
        <f>G109*(1-0.206793440171939)</f>
        <v>0</v>
      </c>
    </row>
    <row r="110" spans="1:32" ht="12.75">
      <c r="A110" s="5" t="s">
        <v>91</v>
      </c>
      <c r="B110" s="5" t="s">
        <v>152</v>
      </c>
      <c r="C110" s="5" t="s">
        <v>245</v>
      </c>
      <c r="D110" s="5" t="s">
        <v>413</v>
      </c>
      <c r="E110" s="5" t="s">
        <v>489</v>
      </c>
      <c r="F110" s="13">
        <v>30</v>
      </c>
      <c r="H110" s="13">
        <f t="shared" si="34"/>
        <v>0</v>
      </c>
      <c r="I110" s="13">
        <f t="shared" si="35"/>
        <v>0</v>
      </c>
      <c r="J110" s="13">
        <f t="shared" si="36"/>
        <v>0</v>
      </c>
      <c r="K110" s="13">
        <v>0.00533</v>
      </c>
      <c r="L110" s="13">
        <f t="shared" si="37"/>
        <v>0.1599</v>
      </c>
      <c r="N110" s="25" t="s">
        <v>7</v>
      </c>
      <c r="O110" s="13">
        <f t="shared" si="38"/>
        <v>0</v>
      </c>
      <c r="Z110" s="13">
        <f t="shared" si="39"/>
        <v>0</v>
      </c>
      <c r="AA110" s="13">
        <f t="shared" si="40"/>
        <v>0</v>
      </c>
      <c r="AB110" s="13">
        <f t="shared" si="41"/>
        <v>0</v>
      </c>
      <c r="AD110" s="13">
        <v>20</v>
      </c>
      <c r="AE110" s="13">
        <f>G110*0.125754331321783</f>
        <v>0</v>
      </c>
      <c r="AF110" s="13">
        <f>G110*(1-0.125754331321783)</f>
        <v>0</v>
      </c>
    </row>
    <row r="111" spans="1:32" ht="12.75">
      <c r="A111" s="5" t="s">
        <v>92</v>
      </c>
      <c r="B111" s="5" t="s">
        <v>152</v>
      </c>
      <c r="C111" s="5" t="s">
        <v>246</v>
      </c>
      <c r="D111" s="5" t="s">
        <v>414</v>
      </c>
      <c r="E111" s="5" t="s">
        <v>489</v>
      </c>
      <c r="F111" s="13">
        <v>10</v>
      </c>
      <c r="H111" s="13">
        <f t="shared" si="34"/>
        <v>0</v>
      </c>
      <c r="I111" s="13">
        <f t="shared" si="35"/>
        <v>0</v>
      </c>
      <c r="J111" s="13">
        <f t="shared" si="36"/>
        <v>0</v>
      </c>
      <c r="K111" s="13">
        <v>0.0054</v>
      </c>
      <c r="L111" s="13">
        <f t="shared" si="37"/>
        <v>0.054000000000000006</v>
      </c>
      <c r="N111" s="25" t="s">
        <v>7</v>
      </c>
      <c r="O111" s="13">
        <f t="shared" si="38"/>
        <v>0</v>
      </c>
      <c r="Z111" s="13">
        <f t="shared" si="39"/>
        <v>0</v>
      </c>
      <c r="AA111" s="13">
        <f t="shared" si="40"/>
        <v>0</v>
      </c>
      <c r="AB111" s="13">
        <f t="shared" si="41"/>
        <v>0</v>
      </c>
      <c r="AD111" s="13">
        <v>20</v>
      </c>
      <c r="AE111" s="13">
        <f>G111*0.205202671866573</f>
        <v>0</v>
      </c>
      <c r="AF111" s="13">
        <f>G111*(1-0.205202671866573)</f>
        <v>0</v>
      </c>
    </row>
    <row r="112" spans="1:32" ht="12.75">
      <c r="A112" s="5" t="s">
        <v>93</v>
      </c>
      <c r="B112" s="5" t="s">
        <v>152</v>
      </c>
      <c r="C112" s="5" t="s">
        <v>247</v>
      </c>
      <c r="D112" s="5" t="s">
        <v>415</v>
      </c>
      <c r="E112" s="5" t="s">
        <v>490</v>
      </c>
      <c r="F112" s="13">
        <v>14</v>
      </c>
      <c r="H112" s="13">
        <f t="shared" si="34"/>
        <v>0</v>
      </c>
      <c r="I112" s="13">
        <f t="shared" si="35"/>
        <v>0</v>
      </c>
      <c r="J112" s="13">
        <f t="shared" si="36"/>
        <v>0</v>
      </c>
      <c r="K112" s="13">
        <v>0</v>
      </c>
      <c r="L112" s="13">
        <f t="shared" si="37"/>
        <v>0</v>
      </c>
      <c r="N112" s="25" t="s">
        <v>7</v>
      </c>
      <c r="O112" s="13">
        <f t="shared" si="38"/>
        <v>0</v>
      </c>
      <c r="Z112" s="13">
        <f t="shared" si="39"/>
        <v>0</v>
      </c>
      <c r="AA112" s="13">
        <f t="shared" si="40"/>
        <v>0</v>
      </c>
      <c r="AB112" s="13">
        <f t="shared" si="41"/>
        <v>0</v>
      </c>
      <c r="AD112" s="13">
        <v>20</v>
      </c>
      <c r="AE112" s="13">
        <f>G112*0</f>
        <v>0</v>
      </c>
      <c r="AF112" s="13">
        <f>G112*(1-0)</f>
        <v>0</v>
      </c>
    </row>
    <row r="113" spans="1:32" ht="12.75">
      <c r="A113" s="5" t="s">
        <v>94</v>
      </c>
      <c r="B113" s="5" t="s">
        <v>152</v>
      </c>
      <c r="C113" s="5" t="s">
        <v>248</v>
      </c>
      <c r="D113" s="5" t="s">
        <v>416</v>
      </c>
      <c r="E113" s="5" t="s">
        <v>490</v>
      </c>
      <c r="F113" s="13">
        <v>2</v>
      </c>
      <c r="H113" s="13">
        <f t="shared" si="34"/>
        <v>0</v>
      </c>
      <c r="I113" s="13">
        <f t="shared" si="35"/>
        <v>0</v>
      </c>
      <c r="J113" s="13">
        <f t="shared" si="36"/>
        <v>0</v>
      </c>
      <c r="K113" s="13">
        <v>0</v>
      </c>
      <c r="L113" s="13">
        <f t="shared" si="37"/>
        <v>0</v>
      </c>
      <c r="N113" s="25" t="s">
        <v>7</v>
      </c>
      <c r="O113" s="13">
        <f t="shared" si="38"/>
        <v>0</v>
      </c>
      <c r="Z113" s="13">
        <f t="shared" si="39"/>
        <v>0</v>
      </c>
      <c r="AA113" s="13">
        <f t="shared" si="40"/>
        <v>0</v>
      </c>
      <c r="AB113" s="13">
        <f t="shared" si="41"/>
        <v>0</v>
      </c>
      <c r="AD113" s="13">
        <v>20</v>
      </c>
      <c r="AE113" s="13">
        <f>G113*0</f>
        <v>0</v>
      </c>
      <c r="AF113" s="13">
        <f>G113*(1-0)</f>
        <v>0</v>
      </c>
    </row>
    <row r="114" spans="1:32" ht="12.75">
      <c r="A114" s="5" t="s">
        <v>95</v>
      </c>
      <c r="B114" s="5" t="s">
        <v>152</v>
      </c>
      <c r="C114" s="5" t="s">
        <v>249</v>
      </c>
      <c r="D114" s="5" t="s">
        <v>417</v>
      </c>
      <c r="E114" s="5" t="s">
        <v>490</v>
      </c>
      <c r="F114" s="13">
        <v>32</v>
      </c>
      <c r="H114" s="13">
        <f t="shared" si="34"/>
        <v>0</v>
      </c>
      <c r="I114" s="13">
        <f t="shared" si="35"/>
        <v>0</v>
      </c>
      <c r="J114" s="13">
        <f t="shared" si="36"/>
        <v>0</v>
      </c>
      <c r="K114" s="13">
        <v>0.00125</v>
      </c>
      <c r="L114" s="13">
        <f t="shared" si="37"/>
        <v>0.04</v>
      </c>
      <c r="N114" s="25" t="s">
        <v>7</v>
      </c>
      <c r="O114" s="13">
        <f t="shared" si="38"/>
        <v>0</v>
      </c>
      <c r="Z114" s="13">
        <f t="shared" si="39"/>
        <v>0</v>
      </c>
      <c r="AA114" s="13">
        <f t="shared" si="40"/>
        <v>0</v>
      </c>
      <c r="AB114" s="13">
        <f t="shared" si="41"/>
        <v>0</v>
      </c>
      <c r="AD114" s="13">
        <v>20</v>
      </c>
      <c r="AE114" s="13">
        <f>G114*0.383532084043157</f>
        <v>0</v>
      </c>
      <c r="AF114" s="13">
        <f>G114*(1-0.383532084043157)</f>
        <v>0</v>
      </c>
    </row>
    <row r="115" spans="1:32" ht="12.75">
      <c r="A115" s="5" t="s">
        <v>96</v>
      </c>
      <c r="B115" s="5" t="s">
        <v>152</v>
      </c>
      <c r="C115" s="5" t="s">
        <v>250</v>
      </c>
      <c r="D115" s="5" t="s">
        <v>418</v>
      </c>
      <c r="E115" s="5" t="s">
        <v>490</v>
      </c>
      <c r="F115" s="13">
        <v>4</v>
      </c>
      <c r="H115" s="13">
        <f t="shared" si="34"/>
        <v>0</v>
      </c>
      <c r="I115" s="13">
        <f t="shared" si="35"/>
        <v>0</v>
      </c>
      <c r="J115" s="13">
        <f t="shared" si="36"/>
        <v>0</v>
      </c>
      <c r="K115" s="13">
        <v>0.00188</v>
      </c>
      <c r="L115" s="13">
        <f t="shared" si="37"/>
        <v>0.00752</v>
      </c>
      <c r="N115" s="25" t="s">
        <v>7</v>
      </c>
      <c r="O115" s="13">
        <f t="shared" si="38"/>
        <v>0</v>
      </c>
      <c r="Z115" s="13">
        <f t="shared" si="39"/>
        <v>0</v>
      </c>
      <c r="AA115" s="13">
        <f t="shared" si="40"/>
        <v>0</v>
      </c>
      <c r="AB115" s="13">
        <f t="shared" si="41"/>
        <v>0</v>
      </c>
      <c r="AD115" s="13">
        <v>20</v>
      </c>
      <c r="AE115" s="13">
        <f>G115*0.448058230064035</f>
        <v>0</v>
      </c>
      <c r="AF115" s="13">
        <f>G115*(1-0.448058230064035)</f>
        <v>0</v>
      </c>
    </row>
    <row r="116" spans="1:32" ht="12.75">
      <c r="A116" s="5" t="s">
        <v>97</v>
      </c>
      <c r="B116" s="5" t="s">
        <v>152</v>
      </c>
      <c r="C116" s="5" t="s">
        <v>251</v>
      </c>
      <c r="D116" s="5" t="s">
        <v>419</v>
      </c>
      <c r="E116" s="5" t="s">
        <v>490</v>
      </c>
      <c r="F116" s="13">
        <v>20</v>
      </c>
      <c r="H116" s="13">
        <f t="shared" si="34"/>
        <v>0</v>
      </c>
      <c r="I116" s="13">
        <f t="shared" si="35"/>
        <v>0</v>
      </c>
      <c r="J116" s="13">
        <f t="shared" si="36"/>
        <v>0</v>
      </c>
      <c r="K116" s="13">
        <v>0.00068</v>
      </c>
      <c r="L116" s="13">
        <f t="shared" si="37"/>
        <v>0.013600000000000001</v>
      </c>
      <c r="N116" s="25" t="s">
        <v>7</v>
      </c>
      <c r="O116" s="13">
        <f t="shared" si="38"/>
        <v>0</v>
      </c>
      <c r="Z116" s="13">
        <f t="shared" si="39"/>
        <v>0</v>
      </c>
      <c r="AA116" s="13">
        <f t="shared" si="40"/>
        <v>0</v>
      </c>
      <c r="AB116" s="13">
        <f t="shared" si="41"/>
        <v>0</v>
      </c>
      <c r="AD116" s="13">
        <v>20</v>
      </c>
      <c r="AE116" s="13">
        <f>G116*0.139303482587065</f>
        <v>0</v>
      </c>
      <c r="AF116" s="13">
        <f>G116*(1-0.139303482587065)</f>
        <v>0</v>
      </c>
    </row>
    <row r="117" spans="1:32" ht="12.75">
      <c r="A117" s="5" t="s">
        <v>98</v>
      </c>
      <c r="B117" s="5" t="s">
        <v>152</v>
      </c>
      <c r="C117" s="5" t="s">
        <v>252</v>
      </c>
      <c r="D117" s="5" t="s">
        <v>420</v>
      </c>
      <c r="E117" s="5" t="s">
        <v>488</v>
      </c>
      <c r="F117" s="13">
        <v>1.177</v>
      </c>
      <c r="H117" s="13">
        <f t="shared" si="34"/>
        <v>0</v>
      </c>
      <c r="I117" s="13">
        <f t="shared" si="35"/>
        <v>0</v>
      </c>
      <c r="J117" s="13">
        <f t="shared" si="36"/>
        <v>0</v>
      </c>
      <c r="K117" s="13">
        <v>0</v>
      </c>
      <c r="L117" s="13">
        <f t="shared" si="37"/>
        <v>0</v>
      </c>
      <c r="N117" s="25" t="s">
        <v>7</v>
      </c>
      <c r="O117" s="13">
        <f t="shared" si="38"/>
        <v>0</v>
      </c>
      <c r="Z117" s="13">
        <f t="shared" si="39"/>
        <v>0</v>
      </c>
      <c r="AA117" s="13">
        <f t="shared" si="40"/>
        <v>0</v>
      </c>
      <c r="AB117" s="13">
        <f t="shared" si="41"/>
        <v>0</v>
      </c>
      <c r="AD117" s="13">
        <v>20</v>
      </c>
      <c r="AE117" s="13">
        <f>G117*0</f>
        <v>0</v>
      </c>
      <c r="AF117" s="13">
        <f>G117*(1-0)</f>
        <v>0</v>
      </c>
    </row>
    <row r="118" spans="1:32" ht="12.75">
      <c r="A118" s="5" t="s">
        <v>99</v>
      </c>
      <c r="B118" s="5" t="s">
        <v>152</v>
      </c>
      <c r="C118" s="5" t="s">
        <v>253</v>
      </c>
      <c r="D118" s="5" t="s">
        <v>421</v>
      </c>
      <c r="E118" s="5" t="s">
        <v>488</v>
      </c>
      <c r="F118" s="13">
        <v>0.957</v>
      </c>
      <c r="H118" s="13">
        <f t="shared" si="34"/>
        <v>0</v>
      </c>
      <c r="I118" s="13">
        <f t="shared" si="35"/>
        <v>0</v>
      </c>
      <c r="J118" s="13">
        <f t="shared" si="36"/>
        <v>0</v>
      </c>
      <c r="K118" s="13">
        <v>0</v>
      </c>
      <c r="L118" s="13">
        <f t="shared" si="37"/>
        <v>0</v>
      </c>
      <c r="N118" s="25" t="s">
        <v>11</v>
      </c>
      <c r="O118" s="13">
        <f t="shared" si="38"/>
        <v>0</v>
      </c>
      <c r="Z118" s="13">
        <f t="shared" si="39"/>
        <v>0</v>
      </c>
      <c r="AA118" s="13">
        <f t="shared" si="40"/>
        <v>0</v>
      </c>
      <c r="AB118" s="13">
        <f t="shared" si="41"/>
        <v>0</v>
      </c>
      <c r="AD118" s="13">
        <v>20</v>
      </c>
      <c r="AE118" s="13">
        <f>G118*0</f>
        <v>0</v>
      </c>
      <c r="AF118" s="13">
        <f>G118*(1-0)</f>
        <v>0</v>
      </c>
    </row>
    <row r="119" spans="1:32" ht="12.75">
      <c r="A119" s="5" t="s">
        <v>100</v>
      </c>
      <c r="B119" s="5" t="s">
        <v>152</v>
      </c>
      <c r="C119" s="5" t="s">
        <v>254</v>
      </c>
      <c r="D119" s="5" t="s">
        <v>422</v>
      </c>
      <c r="E119" s="5" t="s">
        <v>488</v>
      </c>
      <c r="F119" s="13">
        <v>0.957</v>
      </c>
      <c r="H119" s="13">
        <f t="shared" si="34"/>
        <v>0</v>
      </c>
      <c r="I119" s="13">
        <f t="shared" si="35"/>
        <v>0</v>
      </c>
      <c r="J119" s="13">
        <f t="shared" si="36"/>
        <v>0</v>
      </c>
      <c r="K119" s="13">
        <v>0</v>
      </c>
      <c r="L119" s="13">
        <f t="shared" si="37"/>
        <v>0</v>
      </c>
      <c r="N119" s="25" t="s">
        <v>11</v>
      </c>
      <c r="O119" s="13">
        <f t="shared" si="38"/>
        <v>0</v>
      </c>
      <c r="Z119" s="13">
        <f t="shared" si="39"/>
        <v>0</v>
      </c>
      <c r="AA119" s="13">
        <f t="shared" si="40"/>
        <v>0</v>
      </c>
      <c r="AB119" s="13">
        <f t="shared" si="41"/>
        <v>0</v>
      </c>
      <c r="AD119" s="13">
        <v>20</v>
      </c>
      <c r="AE119" s="13">
        <f>G119*0</f>
        <v>0</v>
      </c>
      <c r="AF119" s="13">
        <f>G119*(1-0)</f>
        <v>0</v>
      </c>
    </row>
    <row r="120" spans="1:37" ht="12.75">
      <c r="A120" s="4"/>
      <c r="B120" s="4"/>
      <c r="C120" s="11" t="s">
        <v>255</v>
      </c>
      <c r="D120" s="49" t="s">
        <v>423</v>
      </c>
      <c r="E120" s="50"/>
      <c r="F120" s="50"/>
      <c r="G120" s="50"/>
      <c r="H120" s="27">
        <f>SUM(H121:H129)</f>
        <v>0</v>
      </c>
      <c r="I120" s="27">
        <f>SUM(I121:I129)</f>
        <v>0</v>
      </c>
      <c r="J120" s="27">
        <f>H120+I120</f>
        <v>0</v>
      </c>
      <c r="K120" s="22"/>
      <c r="L120" s="27">
        <f>SUM(L121:L129)</f>
        <v>0.43004999999999993</v>
      </c>
      <c r="P120" s="27">
        <f>IF(Q120="PR",J120,SUM(O121:O129))</f>
        <v>0</v>
      </c>
      <c r="Q120" s="22" t="s">
        <v>515</v>
      </c>
      <c r="R120" s="27">
        <f>IF(Q120="HS",H120,0)</f>
        <v>0</v>
      </c>
      <c r="S120" s="27">
        <f>IF(Q120="HS",I120-P120,0)</f>
        <v>0</v>
      </c>
      <c r="T120" s="27">
        <f>IF(Q120="PS",H120,0)</f>
        <v>0</v>
      </c>
      <c r="U120" s="27">
        <f>IF(Q120="PS",I120-P120,0)</f>
        <v>0</v>
      </c>
      <c r="V120" s="27">
        <f>IF(Q120="MP",H120,0)</f>
        <v>0</v>
      </c>
      <c r="W120" s="27">
        <f>IF(Q120="MP",I120-P120,0)</f>
        <v>0</v>
      </c>
      <c r="X120" s="27">
        <f>IF(Q120="OM",H120,0)</f>
        <v>0</v>
      </c>
      <c r="Y120" s="22" t="s">
        <v>152</v>
      </c>
      <c r="AI120" s="27">
        <f>SUM(Z121:Z129)</f>
        <v>0</v>
      </c>
      <c r="AJ120" s="27">
        <f>SUM(AA121:AA129)</f>
        <v>0</v>
      </c>
      <c r="AK120" s="27">
        <f>SUM(AB121:AB129)</f>
        <v>0</v>
      </c>
    </row>
    <row r="121" spans="1:32" ht="12.75">
      <c r="A121" s="5" t="s">
        <v>101</v>
      </c>
      <c r="B121" s="5" t="s">
        <v>152</v>
      </c>
      <c r="C121" s="5" t="s">
        <v>256</v>
      </c>
      <c r="D121" s="5" t="s">
        <v>424</v>
      </c>
      <c r="E121" s="5" t="s">
        <v>490</v>
      </c>
      <c r="F121" s="13">
        <v>11</v>
      </c>
      <c r="H121" s="13">
        <f aca="true" t="shared" si="42" ref="H121:H129">ROUND(F121*AE121,2)</f>
        <v>0</v>
      </c>
      <c r="I121" s="13">
        <f aca="true" t="shared" si="43" ref="I121:I129">J121-H121</f>
        <v>0</v>
      </c>
      <c r="J121" s="13">
        <f aca="true" t="shared" si="44" ref="J121:J129">ROUND(F121*G121,2)</f>
        <v>0</v>
      </c>
      <c r="K121" s="13">
        <v>0.039</v>
      </c>
      <c r="L121" s="13">
        <f aca="true" t="shared" si="45" ref="L121:L129">F121*K121</f>
        <v>0.429</v>
      </c>
      <c r="N121" s="25" t="s">
        <v>7</v>
      </c>
      <c r="O121" s="13">
        <f aca="true" t="shared" si="46" ref="O121:O129">IF(N121="5",I121,0)</f>
        <v>0</v>
      </c>
      <c r="Z121" s="13">
        <f aca="true" t="shared" si="47" ref="Z121:Z129">IF(AD121=0,J121,0)</f>
        <v>0</v>
      </c>
      <c r="AA121" s="13">
        <f aca="true" t="shared" si="48" ref="AA121:AA129">IF(AD121=10,J121,0)</f>
        <v>0</v>
      </c>
      <c r="AB121" s="13">
        <f aca="true" t="shared" si="49" ref="AB121:AB129">IF(AD121=20,J121,0)</f>
        <v>0</v>
      </c>
      <c r="AD121" s="13">
        <v>20</v>
      </c>
      <c r="AE121" s="13">
        <f>G121*0.00389540610728038</f>
        <v>0</v>
      </c>
      <c r="AF121" s="13">
        <f>G121*(1-0.00389540610728038)</f>
        <v>0</v>
      </c>
    </row>
    <row r="122" spans="1:32" ht="12.75">
      <c r="A122" s="5" t="s">
        <v>102</v>
      </c>
      <c r="B122" s="5" t="s">
        <v>152</v>
      </c>
      <c r="C122" s="5" t="s">
        <v>257</v>
      </c>
      <c r="D122" s="5" t="s">
        <v>425</v>
      </c>
      <c r="E122" s="5" t="s">
        <v>488</v>
      </c>
      <c r="F122" s="13">
        <v>0.429</v>
      </c>
      <c r="H122" s="13">
        <f t="shared" si="42"/>
        <v>0</v>
      </c>
      <c r="I122" s="13">
        <f t="shared" si="43"/>
        <v>0</v>
      </c>
      <c r="J122" s="13">
        <f t="shared" si="44"/>
        <v>0</v>
      </c>
      <c r="K122" s="13">
        <v>0</v>
      </c>
      <c r="L122" s="13">
        <f t="shared" si="45"/>
        <v>0</v>
      </c>
      <c r="N122" s="25" t="s">
        <v>7</v>
      </c>
      <c r="O122" s="13">
        <f t="shared" si="46"/>
        <v>0</v>
      </c>
      <c r="Z122" s="13">
        <f t="shared" si="47"/>
        <v>0</v>
      </c>
      <c r="AA122" s="13">
        <f t="shared" si="48"/>
        <v>0</v>
      </c>
      <c r="AB122" s="13">
        <f t="shared" si="49"/>
        <v>0</v>
      </c>
      <c r="AD122" s="13">
        <v>20</v>
      </c>
      <c r="AE122" s="13">
        <f>G122*0</f>
        <v>0</v>
      </c>
      <c r="AF122" s="13">
        <f>G122*(1-0)</f>
        <v>0</v>
      </c>
    </row>
    <row r="123" spans="1:32" ht="12.75">
      <c r="A123" s="5" t="s">
        <v>103</v>
      </c>
      <c r="B123" s="5" t="s">
        <v>152</v>
      </c>
      <c r="C123" s="5" t="s">
        <v>258</v>
      </c>
      <c r="D123" s="5" t="s">
        <v>426</v>
      </c>
      <c r="E123" s="5" t="s">
        <v>490</v>
      </c>
      <c r="F123" s="13">
        <v>1</v>
      </c>
      <c r="H123" s="13">
        <f t="shared" si="42"/>
        <v>0</v>
      </c>
      <c r="I123" s="13">
        <f t="shared" si="43"/>
        <v>0</v>
      </c>
      <c r="J123" s="13">
        <f t="shared" si="44"/>
        <v>0</v>
      </c>
      <c r="K123" s="13">
        <v>3E-05</v>
      </c>
      <c r="L123" s="13">
        <f t="shared" si="45"/>
        <v>3E-05</v>
      </c>
      <c r="N123" s="25" t="s">
        <v>7</v>
      </c>
      <c r="O123" s="13">
        <f t="shared" si="46"/>
        <v>0</v>
      </c>
      <c r="Z123" s="13">
        <f t="shared" si="47"/>
        <v>0</v>
      </c>
      <c r="AA123" s="13">
        <f t="shared" si="48"/>
        <v>0</v>
      </c>
      <c r="AB123" s="13">
        <f t="shared" si="49"/>
        <v>0</v>
      </c>
      <c r="AD123" s="13">
        <v>20</v>
      </c>
      <c r="AE123" s="13">
        <f>G123*0.894053744997141</f>
        <v>0</v>
      </c>
      <c r="AF123" s="13">
        <f>G123*(1-0.894053744997141)</f>
        <v>0</v>
      </c>
    </row>
    <row r="124" spans="1:32" ht="12.75">
      <c r="A124" s="5" t="s">
        <v>104</v>
      </c>
      <c r="B124" s="5" t="s">
        <v>152</v>
      </c>
      <c r="C124" s="5" t="s">
        <v>259</v>
      </c>
      <c r="D124" s="5" t="s">
        <v>427</v>
      </c>
      <c r="E124" s="5" t="s">
        <v>490</v>
      </c>
      <c r="F124" s="13">
        <v>14</v>
      </c>
      <c r="H124" s="13">
        <f t="shared" si="42"/>
        <v>0</v>
      </c>
      <c r="I124" s="13">
        <f t="shared" si="43"/>
        <v>0</v>
      </c>
      <c r="J124" s="13">
        <f t="shared" si="44"/>
        <v>0</v>
      </c>
      <c r="K124" s="13">
        <v>3E-05</v>
      </c>
      <c r="L124" s="13">
        <f t="shared" si="45"/>
        <v>0.00042</v>
      </c>
      <c r="N124" s="25" t="s">
        <v>7</v>
      </c>
      <c r="O124" s="13">
        <f t="shared" si="46"/>
        <v>0</v>
      </c>
      <c r="Z124" s="13">
        <f t="shared" si="47"/>
        <v>0</v>
      </c>
      <c r="AA124" s="13">
        <f t="shared" si="48"/>
        <v>0</v>
      </c>
      <c r="AB124" s="13">
        <f t="shared" si="49"/>
        <v>0</v>
      </c>
      <c r="AD124" s="13">
        <v>20</v>
      </c>
      <c r="AE124" s="13">
        <f>G124*0.851331835686778</f>
        <v>0</v>
      </c>
      <c r="AF124" s="13">
        <f>G124*(1-0.851331835686778)</f>
        <v>0</v>
      </c>
    </row>
    <row r="125" spans="1:32" ht="12.75">
      <c r="A125" s="5" t="s">
        <v>105</v>
      </c>
      <c r="B125" s="5" t="s">
        <v>152</v>
      </c>
      <c r="C125" s="5" t="s">
        <v>260</v>
      </c>
      <c r="D125" s="5" t="s">
        <v>428</v>
      </c>
      <c r="E125" s="5" t="s">
        <v>490</v>
      </c>
      <c r="F125" s="13">
        <v>2</v>
      </c>
      <c r="H125" s="13">
        <f t="shared" si="42"/>
        <v>0</v>
      </c>
      <c r="I125" s="13">
        <f t="shared" si="43"/>
        <v>0</v>
      </c>
      <c r="J125" s="13">
        <f t="shared" si="44"/>
        <v>0</v>
      </c>
      <c r="K125" s="13">
        <v>4E-05</v>
      </c>
      <c r="L125" s="13">
        <f t="shared" si="45"/>
        <v>8E-05</v>
      </c>
      <c r="N125" s="25" t="s">
        <v>7</v>
      </c>
      <c r="O125" s="13">
        <f t="shared" si="46"/>
        <v>0</v>
      </c>
      <c r="Z125" s="13">
        <f t="shared" si="47"/>
        <v>0</v>
      </c>
      <c r="AA125" s="13">
        <f t="shared" si="48"/>
        <v>0</v>
      </c>
      <c r="AB125" s="13">
        <f t="shared" si="49"/>
        <v>0</v>
      </c>
      <c r="AD125" s="13">
        <v>20</v>
      </c>
      <c r="AE125" s="13">
        <f>G125*0.824301363429156</f>
        <v>0</v>
      </c>
      <c r="AF125" s="13">
        <f>G125*(1-0.824301363429156)</f>
        <v>0</v>
      </c>
    </row>
    <row r="126" spans="1:32" ht="12.75">
      <c r="A126" s="5" t="s">
        <v>106</v>
      </c>
      <c r="B126" s="5" t="s">
        <v>152</v>
      </c>
      <c r="C126" s="5" t="s">
        <v>261</v>
      </c>
      <c r="D126" s="5" t="s">
        <v>429</v>
      </c>
      <c r="E126" s="5" t="s">
        <v>490</v>
      </c>
      <c r="F126" s="13">
        <v>1</v>
      </c>
      <c r="H126" s="13">
        <f t="shared" si="42"/>
        <v>0</v>
      </c>
      <c r="I126" s="13">
        <f t="shared" si="43"/>
        <v>0</v>
      </c>
      <c r="J126" s="13">
        <f t="shared" si="44"/>
        <v>0</v>
      </c>
      <c r="K126" s="13">
        <v>4E-05</v>
      </c>
      <c r="L126" s="13">
        <f t="shared" si="45"/>
        <v>4E-05</v>
      </c>
      <c r="N126" s="25" t="s">
        <v>7</v>
      </c>
      <c r="O126" s="13">
        <f t="shared" si="46"/>
        <v>0</v>
      </c>
      <c r="Z126" s="13">
        <f t="shared" si="47"/>
        <v>0</v>
      </c>
      <c r="AA126" s="13">
        <f t="shared" si="48"/>
        <v>0</v>
      </c>
      <c r="AB126" s="13">
        <f t="shared" si="49"/>
        <v>0</v>
      </c>
      <c r="AD126" s="13">
        <v>20</v>
      </c>
      <c r="AE126" s="13">
        <f>G126*0.822057136461569</f>
        <v>0</v>
      </c>
      <c r="AF126" s="13">
        <f>G126*(1-0.822057136461569)</f>
        <v>0</v>
      </c>
    </row>
    <row r="127" spans="1:32" ht="12.75">
      <c r="A127" s="5" t="s">
        <v>107</v>
      </c>
      <c r="B127" s="5" t="s">
        <v>152</v>
      </c>
      <c r="C127" s="5" t="s">
        <v>262</v>
      </c>
      <c r="D127" s="5" t="s">
        <v>430</v>
      </c>
      <c r="E127" s="5" t="s">
        <v>490</v>
      </c>
      <c r="F127" s="13">
        <v>1</v>
      </c>
      <c r="H127" s="13">
        <f t="shared" si="42"/>
        <v>0</v>
      </c>
      <c r="I127" s="13">
        <f t="shared" si="43"/>
        <v>0</v>
      </c>
      <c r="J127" s="13">
        <f t="shared" si="44"/>
        <v>0</v>
      </c>
      <c r="K127" s="13">
        <v>0.00048</v>
      </c>
      <c r="L127" s="13">
        <f t="shared" si="45"/>
        <v>0.00048</v>
      </c>
      <c r="N127" s="25" t="s">
        <v>7</v>
      </c>
      <c r="O127" s="13">
        <f t="shared" si="46"/>
        <v>0</v>
      </c>
      <c r="Z127" s="13">
        <f t="shared" si="47"/>
        <v>0</v>
      </c>
      <c r="AA127" s="13">
        <f t="shared" si="48"/>
        <v>0</v>
      </c>
      <c r="AB127" s="13">
        <f t="shared" si="49"/>
        <v>0</v>
      </c>
      <c r="AD127" s="13">
        <v>20</v>
      </c>
      <c r="AE127" s="13">
        <f>G127*0.970953713086101</f>
        <v>0</v>
      </c>
      <c r="AF127" s="13">
        <f>G127*(1-0.970953713086101)</f>
        <v>0</v>
      </c>
    </row>
    <row r="128" spans="1:32" ht="12.75">
      <c r="A128" s="5" t="s">
        <v>108</v>
      </c>
      <c r="B128" s="5" t="s">
        <v>152</v>
      </c>
      <c r="C128" s="5" t="s">
        <v>263</v>
      </c>
      <c r="D128" s="5" t="s">
        <v>431</v>
      </c>
      <c r="E128" s="5" t="s">
        <v>488</v>
      </c>
      <c r="F128" s="13">
        <v>0.43</v>
      </c>
      <c r="H128" s="13">
        <f t="shared" si="42"/>
        <v>0</v>
      </c>
      <c r="I128" s="13">
        <f t="shared" si="43"/>
        <v>0</v>
      </c>
      <c r="J128" s="13">
        <f t="shared" si="44"/>
        <v>0</v>
      </c>
      <c r="K128" s="13">
        <v>0</v>
      </c>
      <c r="L128" s="13">
        <f t="shared" si="45"/>
        <v>0</v>
      </c>
      <c r="N128" s="25" t="s">
        <v>11</v>
      </c>
      <c r="O128" s="13">
        <f t="shared" si="46"/>
        <v>0</v>
      </c>
      <c r="Z128" s="13">
        <f t="shared" si="47"/>
        <v>0</v>
      </c>
      <c r="AA128" s="13">
        <f t="shared" si="48"/>
        <v>0</v>
      </c>
      <c r="AB128" s="13">
        <f t="shared" si="49"/>
        <v>0</v>
      </c>
      <c r="AD128" s="13">
        <v>20</v>
      </c>
      <c r="AE128" s="13">
        <f>G128*0</f>
        <v>0</v>
      </c>
      <c r="AF128" s="13">
        <f>G128*(1-0)</f>
        <v>0</v>
      </c>
    </row>
    <row r="129" spans="1:32" ht="12.75">
      <c r="A129" s="5" t="s">
        <v>109</v>
      </c>
      <c r="B129" s="5" t="s">
        <v>152</v>
      </c>
      <c r="C129" s="5" t="s">
        <v>264</v>
      </c>
      <c r="D129" s="5" t="s">
        <v>432</v>
      </c>
      <c r="E129" s="5" t="s">
        <v>488</v>
      </c>
      <c r="F129" s="13">
        <v>0.43</v>
      </c>
      <c r="H129" s="13">
        <f t="shared" si="42"/>
        <v>0</v>
      </c>
      <c r="I129" s="13">
        <f t="shared" si="43"/>
        <v>0</v>
      </c>
      <c r="J129" s="13">
        <f t="shared" si="44"/>
        <v>0</v>
      </c>
      <c r="K129" s="13">
        <v>0</v>
      </c>
      <c r="L129" s="13">
        <f t="shared" si="45"/>
        <v>0</v>
      </c>
      <c r="N129" s="25" t="s">
        <v>11</v>
      </c>
      <c r="O129" s="13">
        <f t="shared" si="46"/>
        <v>0</v>
      </c>
      <c r="Z129" s="13">
        <f t="shared" si="47"/>
        <v>0</v>
      </c>
      <c r="AA129" s="13">
        <f t="shared" si="48"/>
        <v>0</v>
      </c>
      <c r="AB129" s="13">
        <f t="shared" si="49"/>
        <v>0</v>
      </c>
      <c r="AD129" s="13">
        <v>20</v>
      </c>
      <c r="AE129" s="13">
        <f>G129*0</f>
        <v>0</v>
      </c>
      <c r="AF129" s="13">
        <f>G129*(1-0)</f>
        <v>0</v>
      </c>
    </row>
    <row r="130" spans="1:37" ht="12.75">
      <c r="A130" s="4"/>
      <c r="B130" s="4"/>
      <c r="C130" s="11" t="s">
        <v>265</v>
      </c>
      <c r="D130" s="49" t="s">
        <v>433</v>
      </c>
      <c r="E130" s="50"/>
      <c r="F130" s="50"/>
      <c r="G130" s="50"/>
      <c r="H130" s="27">
        <f>SUM(H131:H131)</f>
        <v>0</v>
      </c>
      <c r="I130" s="27">
        <f>SUM(I131:I131)</f>
        <v>0</v>
      </c>
      <c r="J130" s="27">
        <f>H130+I130</f>
        <v>0</v>
      </c>
      <c r="K130" s="22"/>
      <c r="L130" s="27">
        <f>SUM(L131:L131)</f>
        <v>0.00441</v>
      </c>
      <c r="P130" s="27">
        <f>IF(Q130="PR",J130,SUM(O131:O131))</f>
        <v>0</v>
      </c>
      <c r="Q130" s="22" t="s">
        <v>515</v>
      </c>
      <c r="R130" s="27">
        <f>IF(Q130="HS",H130,0)</f>
        <v>0</v>
      </c>
      <c r="S130" s="27">
        <f>IF(Q130="HS",I130-P130,0)</f>
        <v>0</v>
      </c>
      <c r="T130" s="27">
        <f>IF(Q130="PS",H130,0)</f>
        <v>0</v>
      </c>
      <c r="U130" s="27">
        <f>IF(Q130="PS",I130-P130,0)</f>
        <v>0</v>
      </c>
      <c r="V130" s="27">
        <f>IF(Q130="MP",H130,0)</f>
        <v>0</v>
      </c>
      <c r="W130" s="27">
        <f>IF(Q130="MP",I130-P130,0)</f>
        <v>0</v>
      </c>
      <c r="X130" s="27">
        <f>IF(Q130="OM",H130,0)</f>
        <v>0</v>
      </c>
      <c r="Y130" s="22" t="s">
        <v>152</v>
      </c>
      <c r="AI130" s="27">
        <f>SUM(Z131:Z131)</f>
        <v>0</v>
      </c>
      <c r="AJ130" s="27">
        <f>SUM(AA131:AA131)</f>
        <v>0</v>
      </c>
      <c r="AK130" s="27">
        <f>SUM(AB131:AB131)</f>
        <v>0</v>
      </c>
    </row>
    <row r="131" spans="1:32" ht="12.75">
      <c r="A131" s="5" t="s">
        <v>110</v>
      </c>
      <c r="B131" s="5" t="s">
        <v>152</v>
      </c>
      <c r="C131" s="5" t="s">
        <v>266</v>
      </c>
      <c r="D131" s="5" t="s">
        <v>434</v>
      </c>
      <c r="E131" s="5" t="s">
        <v>489</v>
      </c>
      <c r="F131" s="13">
        <v>49</v>
      </c>
      <c r="H131" s="13">
        <f>ROUND(F131*AE131,2)</f>
        <v>0</v>
      </c>
      <c r="I131" s="13">
        <f>J131-H131</f>
        <v>0</v>
      </c>
      <c r="J131" s="13">
        <f>ROUND(F131*G131,2)</f>
        <v>0</v>
      </c>
      <c r="K131" s="13">
        <v>9E-05</v>
      </c>
      <c r="L131" s="13">
        <f>F131*K131</f>
        <v>0.00441</v>
      </c>
      <c r="N131" s="25" t="s">
        <v>7</v>
      </c>
      <c r="O131" s="13">
        <f>IF(N131="5",I131,0)</f>
        <v>0</v>
      </c>
      <c r="Z131" s="13">
        <f>IF(AD131=0,J131,0)</f>
        <v>0</v>
      </c>
      <c r="AA131" s="13">
        <f>IF(AD131=10,J131,0)</f>
        <v>0</v>
      </c>
      <c r="AB131" s="13">
        <f>IF(AD131=20,J131,0)</f>
        <v>0</v>
      </c>
      <c r="AD131" s="13">
        <v>20</v>
      </c>
      <c r="AE131" s="13">
        <f>G131*0.236299351797289</f>
        <v>0</v>
      </c>
      <c r="AF131" s="13">
        <f>G131*(1-0.236299351797289)</f>
        <v>0</v>
      </c>
    </row>
    <row r="132" spans="1:37" ht="12.75">
      <c r="A132" s="4"/>
      <c r="B132" s="4"/>
      <c r="C132" s="11" t="s">
        <v>267</v>
      </c>
      <c r="D132" s="49" t="s">
        <v>435</v>
      </c>
      <c r="E132" s="50"/>
      <c r="F132" s="50"/>
      <c r="G132" s="50"/>
      <c r="H132" s="27">
        <f>SUM(H133:H133)</f>
        <v>0</v>
      </c>
      <c r="I132" s="27">
        <f>SUM(I133:I133)</f>
        <v>0</v>
      </c>
      <c r="J132" s="27">
        <f>H132+I132</f>
        <v>0</v>
      </c>
      <c r="K132" s="22"/>
      <c r="L132" s="27">
        <f>SUM(L133:L133)</f>
        <v>0.0002</v>
      </c>
      <c r="P132" s="27">
        <f>IF(Q132="PR",J132,SUM(O133:O133))</f>
        <v>0</v>
      </c>
      <c r="Q132" s="22" t="s">
        <v>515</v>
      </c>
      <c r="R132" s="27">
        <f>IF(Q132="HS",H132,0)</f>
        <v>0</v>
      </c>
      <c r="S132" s="27">
        <f>IF(Q132="HS",I132-P132,0)</f>
        <v>0</v>
      </c>
      <c r="T132" s="27">
        <f>IF(Q132="PS",H132,0)</f>
        <v>0</v>
      </c>
      <c r="U132" s="27">
        <f>IF(Q132="PS",I132-P132,0)</f>
        <v>0</v>
      </c>
      <c r="V132" s="27">
        <f>IF(Q132="MP",H132,0)</f>
        <v>0</v>
      </c>
      <c r="W132" s="27">
        <f>IF(Q132="MP",I132-P132,0)</f>
        <v>0</v>
      </c>
      <c r="X132" s="27">
        <f>IF(Q132="OM",H132,0)</f>
        <v>0</v>
      </c>
      <c r="Y132" s="22" t="s">
        <v>152</v>
      </c>
      <c r="AI132" s="27">
        <f>SUM(Z133:Z133)</f>
        <v>0</v>
      </c>
      <c r="AJ132" s="27">
        <f>SUM(AA133:AA133)</f>
        <v>0</v>
      </c>
      <c r="AK132" s="27">
        <f>SUM(AB133:AB133)</f>
        <v>0</v>
      </c>
    </row>
    <row r="133" spans="1:32" ht="12.75">
      <c r="A133" s="5" t="s">
        <v>111</v>
      </c>
      <c r="B133" s="5" t="s">
        <v>152</v>
      </c>
      <c r="C133" s="5" t="s">
        <v>268</v>
      </c>
      <c r="D133" s="5" t="s">
        <v>436</v>
      </c>
      <c r="E133" s="5" t="s">
        <v>487</v>
      </c>
      <c r="F133" s="13">
        <v>1</v>
      </c>
      <c r="H133" s="13">
        <f>ROUND(F133*AE133,2)</f>
        <v>0</v>
      </c>
      <c r="I133" s="13">
        <f>J133-H133</f>
        <v>0</v>
      </c>
      <c r="J133" s="13">
        <f>ROUND(F133*G133,2)</f>
        <v>0</v>
      </c>
      <c r="K133" s="13">
        <v>0.0002</v>
      </c>
      <c r="L133" s="13">
        <f>F133*K133</f>
        <v>0.0002</v>
      </c>
      <c r="N133" s="25" t="s">
        <v>7</v>
      </c>
      <c r="O133" s="13">
        <f>IF(N133="5",I133,0)</f>
        <v>0</v>
      </c>
      <c r="Z133" s="13">
        <f>IF(AD133=0,J133,0)</f>
        <v>0</v>
      </c>
      <c r="AA133" s="13">
        <f>IF(AD133=10,J133,0)</f>
        <v>0</v>
      </c>
      <c r="AB133" s="13">
        <f>IF(AD133=20,J133,0)</f>
        <v>0</v>
      </c>
      <c r="AD133" s="13">
        <v>20</v>
      </c>
      <c r="AE133" s="13">
        <f>G133*0.064448125282337</f>
        <v>0</v>
      </c>
      <c r="AF133" s="13">
        <f>G133*(1-0.064448125282337)</f>
        <v>0</v>
      </c>
    </row>
    <row r="134" spans="1:37" ht="12.75">
      <c r="A134" s="4"/>
      <c r="B134" s="4"/>
      <c r="C134" s="11" t="s">
        <v>96</v>
      </c>
      <c r="D134" s="49" t="s">
        <v>437</v>
      </c>
      <c r="E134" s="50"/>
      <c r="F134" s="50"/>
      <c r="G134" s="50"/>
      <c r="H134" s="27">
        <f>SUM(H135:H135)</f>
        <v>0</v>
      </c>
      <c r="I134" s="27">
        <f>SUM(I135:I135)</f>
        <v>0</v>
      </c>
      <c r="J134" s="27">
        <f>H134+I134</f>
        <v>0</v>
      </c>
      <c r="K134" s="22"/>
      <c r="L134" s="27">
        <f>SUM(L135:L135)</f>
        <v>0</v>
      </c>
      <c r="P134" s="27">
        <f>IF(Q134="PR",J134,SUM(O135:O135))</f>
        <v>0</v>
      </c>
      <c r="Q134" s="22" t="s">
        <v>514</v>
      </c>
      <c r="R134" s="27">
        <f>IF(Q134="HS",H134,0)</f>
        <v>0</v>
      </c>
      <c r="S134" s="27">
        <f>IF(Q134="HS",I134-P134,0)</f>
        <v>0</v>
      </c>
      <c r="T134" s="27">
        <f>IF(Q134="PS",H134,0)</f>
        <v>0</v>
      </c>
      <c r="U134" s="27">
        <f>IF(Q134="PS",I134-P134,0)</f>
        <v>0</v>
      </c>
      <c r="V134" s="27">
        <f>IF(Q134="MP",H134,0)</f>
        <v>0</v>
      </c>
      <c r="W134" s="27">
        <f>IF(Q134="MP",I134-P134,0)</f>
        <v>0</v>
      </c>
      <c r="X134" s="27">
        <f>IF(Q134="OM",H134,0)</f>
        <v>0</v>
      </c>
      <c r="Y134" s="22" t="s">
        <v>152</v>
      </c>
      <c r="AI134" s="27">
        <f>SUM(Z135:Z135)</f>
        <v>0</v>
      </c>
      <c r="AJ134" s="27">
        <f>SUM(AA135:AA135)</f>
        <v>0</v>
      </c>
      <c r="AK134" s="27">
        <f>SUM(AB135:AB135)</f>
        <v>0</v>
      </c>
    </row>
    <row r="135" spans="1:32" ht="12.75">
      <c r="A135" s="5" t="s">
        <v>112</v>
      </c>
      <c r="B135" s="5" t="s">
        <v>152</v>
      </c>
      <c r="C135" s="5" t="s">
        <v>269</v>
      </c>
      <c r="D135" s="5" t="s">
        <v>438</v>
      </c>
      <c r="E135" s="5" t="s">
        <v>495</v>
      </c>
      <c r="F135" s="13">
        <v>72</v>
      </c>
      <c r="H135" s="13">
        <f>ROUND(F135*AE135,2)</f>
        <v>0</v>
      </c>
      <c r="I135" s="13">
        <f>J135-H135</f>
        <v>0</v>
      </c>
      <c r="J135" s="13">
        <f>ROUND(F135*G135,2)</f>
        <v>0</v>
      </c>
      <c r="K135" s="13">
        <v>0</v>
      </c>
      <c r="L135" s="13">
        <f>F135*K135</f>
        <v>0</v>
      </c>
      <c r="N135" s="25" t="s">
        <v>7</v>
      </c>
      <c r="O135" s="13">
        <f>IF(N135="5",I135,0)</f>
        <v>0</v>
      </c>
      <c r="Z135" s="13">
        <f>IF(AD135=0,J135,0)</f>
        <v>0</v>
      </c>
      <c r="AA135" s="13">
        <f>IF(AD135=10,J135,0)</f>
        <v>0</v>
      </c>
      <c r="AB135" s="13">
        <f>IF(AD135=20,J135,0)</f>
        <v>0</v>
      </c>
      <c r="AD135" s="13">
        <v>20</v>
      </c>
      <c r="AE135" s="13">
        <f>G135*0</f>
        <v>0</v>
      </c>
      <c r="AF135" s="13">
        <f>G135*(1-0)</f>
        <v>0</v>
      </c>
    </row>
    <row r="136" spans="1:37" ht="12.75">
      <c r="A136" s="4"/>
      <c r="B136" s="4"/>
      <c r="C136" s="11" t="s">
        <v>101</v>
      </c>
      <c r="D136" s="49" t="s">
        <v>439</v>
      </c>
      <c r="E136" s="50"/>
      <c r="F136" s="50"/>
      <c r="G136" s="50"/>
      <c r="H136" s="27">
        <f>SUM(H137:H147)</f>
        <v>0</v>
      </c>
      <c r="I136" s="27">
        <f>SUM(I137:I147)</f>
        <v>0</v>
      </c>
      <c r="J136" s="27">
        <f>H136+I136</f>
        <v>0</v>
      </c>
      <c r="K136" s="22"/>
      <c r="L136" s="27">
        <f>SUM(L137:L147)</f>
        <v>0.9515</v>
      </c>
      <c r="P136" s="27">
        <f>IF(Q136="PR",J136,SUM(O137:O147))</f>
        <v>0</v>
      </c>
      <c r="Q136" s="22" t="s">
        <v>514</v>
      </c>
      <c r="R136" s="27">
        <f>IF(Q136="HS",H136,0)</f>
        <v>0</v>
      </c>
      <c r="S136" s="27">
        <f>IF(Q136="HS",I136-P136,0)</f>
        <v>0</v>
      </c>
      <c r="T136" s="27">
        <f>IF(Q136="PS",H136,0)</f>
        <v>0</v>
      </c>
      <c r="U136" s="27">
        <f>IF(Q136="PS",I136-P136,0)</f>
        <v>0</v>
      </c>
      <c r="V136" s="27">
        <f>IF(Q136="MP",H136,0)</f>
        <v>0</v>
      </c>
      <c r="W136" s="27">
        <f>IF(Q136="MP",I136-P136,0)</f>
        <v>0</v>
      </c>
      <c r="X136" s="27">
        <f>IF(Q136="OM",H136,0)</f>
        <v>0</v>
      </c>
      <c r="Y136" s="22" t="s">
        <v>152</v>
      </c>
      <c r="AI136" s="27">
        <f>SUM(Z137:Z147)</f>
        <v>0</v>
      </c>
      <c r="AJ136" s="27">
        <f>SUM(AA137:AA147)</f>
        <v>0</v>
      </c>
      <c r="AK136" s="27">
        <f>SUM(AB137:AB147)</f>
        <v>0</v>
      </c>
    </row>
    <row r="137" spans="1:32" ht="12.75">
      <c r="A137" s="5" t="s">
        <v>113</v>
      </c>
      <c r="B137" s="5" t="s">
        <v>152</v>
      </c>
      <c r="C137" s="5" t="s">
        <v>270</v>
      </c>
      <c r="D137" s="5" t="s">
        <v>440</v>
      </c>
      <c r="E137" s="5" t="s">
        <v>494</v>
      </c>
      <c r="F137" s="13">
        <v>3</v>
      </c>
      <c r="H137" s="13">
        <f aca="true" t="shared" si="50" ref="H137:H147">ROUND(F137*AE137,2)</f>
        <v>0</v>
      </c>
      <c r="I137" s="13">
        <f aca="true" t="shared" si="51" ref="I137:I147">J137-H137</f>
        <v>0</v>
      </c>
      <c r="J137" s="13">
        <f aca="true" t="shared" si="52" ref="J137:J147">ROUND(F137*G137,2)</f>
        <v>0</v>
      </c>
      <c r="K137" s="13">
        <v>0.003</v>
      </c>
      <c r="L137" s="13">
        <f aca="true" t="shared" si="53" ref="L137:L147">F137*K137</f>
        <v>0.009000000000000001</v>
      </c>
      <c r="N137" s="25" t="s">
        <v>511</v>
      </c>
      <c r="O137" s="13">
        <f aca="true" t="shared" si="54" ref="O137:O147">IF(N137="5",I137,0)</f>
        <v>0</v>
      </c>
      <c r="Z137" s="13">
        <f aca="true" t="shared" si="55" ref="Z137:Z147">IF(AD137=0,J137,0)</f>
        <v>0</v>
      </c>
      <c r="AA137" s="13">
        <f aca="true" t="shared" si="56" ref="AA137:AA147">IF(AD137=10,J137,0)</f>
        <v>0</v>
      </c>
      <c r="AB137" s="13">
        <f aca="true" t="shared" si="57" ref="AB137:AB147">IF(AD137=20,J137,0)</f>
        <v>0</v>
      </c>
      <c r="AD137" s="13">
        <v>20</v>
      </c>
      <c r="AE137" s="13">
        <f aca="true" t="shared" si="58" ref="AE137:AE145">G137*1</f>
        <v>0</v>
      </c>
      <c r="AF137" s="13">
        <f aca="true" t="shared" si="59" ref="AF137:AF145">G137*(1-1)</f>
        <v>0</v>
      </c>
    </row>
    <row r="138" spans="1:32" ht="12.75">
      <c r="A138" s="5" t="s">
        <v>114</v>
      </c>
      <c r="B138" s="5" t="s">
        <v>152</v>
      </c>
      <c r="C138" s="5" t="s">
        <v>271</v>
      </c>
      <c r="D138" s="5" t="s">
        <v>441</v>
      </c>
      <c r="E138" s="5" t="s">
        <v>494</v>
      </c>
      <c r="F138" s="13">
        <v>3</v>
      </c>
      <c r="H138" s="13">
        <f t="shared" si="50"/>
        <v>0</v>
      </c>
      <c r="I138" s="13">
        <f t="shared" si="51"/>
        <v>0</v>
      </c>
      <c r="J138" s="13">
        <f t="shared" si="52"/>
        <v>0</v>
      </c>
      <c r="K138" s="13">
        <v>0.008</v>
      </c>
      <c r="L138" s="13">
        <f t="shared" si="53"/>
        <v>0.024</v>
      </c>
      <c r="N138" s="25" t="s">
        <v>511</v>
      </c>
      <c r="O138" s="13">
        <f t="shared" si="54"/>
        <v>0</v>
      </c>
      <c r="Z138" s="13">
        <f t="shared" si="55"/>
        <v>0</v>
      </c>
      <c r="AA138" s="13">
        <f t="shared" si="56"/>
        <v>0</v>
      </c>
      <c r="AB138" s="13">
        <f t="shared" si="57"/>
        <v>0</v>
      </c>
      <c r="AD138" s="13">
        <v>20</v>
      </c>
      <c r="AE138" s="13">
        <f t="shared" si="58"/>
        <v>0</v>
      </c>
      <c r="AF138" s="13">
        <f t="shared" si="59"/>
        <v>0</v>
      </c>
    </row>
    <row r="139" spans="1:32" ht="12.75">
      <c r="A139" s="5" t="s">
        <v>115</v>
      </c>
      <c r="B139" s="5" t="s">
        <v>152</v>
      </c>
      <c r="C139" s="5" t="s">
        <v>272</v>
      </c>
      <c r="D139" s="5" t="s">
        <v>442</v>
      </c>
      <c r="E139" s="5" t="s">
        <v>492</v>
      </c>
      <c r="F139" s="13">
        <v>2</v>
      </c>
      <c r="H139" s="13">
        <f t="shared" si="50"/>
        <v>0</v>
      </c>
      <c r="I139" s="13">
        <f t="shared" si="51"/>
        <v>0</v>
      </c>
      <c r="J139" s="13">
        <f t="shared" si="52"/>
        <v>0</v>
      </c>
      <c r="K139" s="13">
        <v>0.002</v>
      </c>
      <c r="L139" s="13">
        <f t="shared" si="53"/>
        <v>0.004</v>
      </c>
      <c r="N139" s="25" t="s">
        <v>511</v>
      </c>
      <c r="O139" s="13">
        <f t="shared" si="54"/>
        <v>0</v>
      </c>
      <c r="Z139" s="13">
        <f t="shared" si="55"/>
        <v>0</v>
      </c>
      <c r="AA139" s="13">
        <f t="shared" si="56"/>
        <v>0</v>
      </c>
      <c r="AB139" s="13">
        <f t="shared" si="57"/>
        <v>0</v>
      </c>
      <c r="AD139" s="13">
        <v>20</v>
      </c>
      <c r="AE139" s="13">
        <f t="shared" si="58"/>
        <v>0</v>
      </c>
      <c r="AF139" s="13">
        <f t="shared" si="59"/>
        <v>0</v>
      </c>
    </row>
    <row r="140" spans="1:32" ht="12.75">
      <c r="A140" s="5" t="s">
        <v>116</v>
      </c>
      <c r="B140" s="5" t="s">
        <v>152</v>
      </c>
      <c r="C140" s="5" t="s">
        <v>273</v>
      </c>
      <c r="D140" s="5" t="s">
        <v>443</v>
      </c>
      <c r="E140" s="5" t="s">
        <v>492</v>
      </c>
      <c r="F140" s="13">
        <v>1</v>
      </c>
      <c r="H140" s="13">
        <f t="shared" si="50"/>
        <v>0</v>
      </c>
      <c r="I140" s="13">
        <f t="shared" si="51"/>
        <v>0</v>
      </c>
      <c r="J140" s="13">
        <f t="shared" si="52"/>
        <v>0</v>
      </c>
      <c r="K140" s="13">
        <v>0.003</v>
      </c>
      <c r="L140" s="13">
        <f t="shared" si="53"/>
        <v>0.003</v>
      </c>
      <c r="N140" s="25" t="s">
        <v>511</v>
      </c>
      <c r="O140" s="13">
        <f t="shared" si="54"/>
        <v>0</v>
      </c>
      <c r="Z140" s="13">
        <f t="shared" si="55"/>
        <v>0</v>
      </c>
      <c r="AA140" s="13">
        <f t="shared" si="56"/>
        <v>0</v>
      </c>
      <c r="AB140" s="13">
        <f t="shared" si="57"/>
        <v>0</v>
      </c>
      <c r="AD140" s="13">
        <v>20</v>
      </c>
      <c r="AE140" s="13">
        <f t="shared" si="58"/>
        <v>0</v>
      </c>
      <c r="AF140" s="13">
        <f t="shared" si="59"/>
        <v>0</v>
      </c>
    </row>
    <row r="141" spans="1:32" ht="12.75">
      <c r="A141" s="5" t="s">
        <v>117</v>
      </c>
      <c r="B141" s="5" t="s">
        <v>152</v>
      </c>
      <c r="C141" s="5" t="s">
        <v>274</v>
      </c>
      <c r="D141" s="5" t="s">
        <v>444</v>
      </c>
      <c r="E141" s="5" t="s">
        <v>492</v>
      </c>
      <c r="F141" s="13">
        <v>1</v>
      </c>
      <c r="H141" s="13">
        <f t="shared" si="50"/>
        <v>0</v>
      </c>
      <c r="I141" s="13">
        <f t="shared" si="51"/>
        <v>0</v>
      </c>
      <c r="J141" s="13">
        <f t="shared" si="52"/>
        <v>0</v>
      </c>
      <c r="K141" s="13">
        <v>0.001</v>
      </c>
      <c r="L141" s="13">
        <f t="shared" si="53"/>
        <v>0.001</v>
      </c>
      <c r="N141" s="25" t="s">
        <v>511</v>
      </c>
      <c r="O141" s="13">
        <f t="shared" si="54"/>
        <v>0</v>
      </c>
      <c r="Z141" s="13">
        <f t="shared" si="55"/>
        <v>0</v>
      </c>
      <c r="AA141" s="13">
        <f t="shared" si="56"/>
        <v>0</v>
      </c>
      <c r="AB141" s="13">
        <f t="shared" si="57"/>
        <v>0</v>
      </c>
      <c r="AD141" s="13">
        <v>20</v>
      </c>
      <c r="AE141" s="13">
        <f t="shared" si="58"/>
        <v>0</v>
      </c>
      <c r="AF141" s="13">
        <f t="shared" si="59"/>
        <v>0</v>
      </c>
    </row>
    <row r="142" spans="1:32" ht="12.75">
      <c r="A142" s="5" t="s">
        <v>118</v>
      </c>
      <c r="B142" s="5" t="s">
        <v>152</v>
      </c>
      <c r="C142" s="5" t="s">
        <v>275</v>
      </c>
      <c r="D142" s="5" t="s">
        <v>445</v>
      </c>
      <c r="E142" s="5" t="s">
        <v>492</v>
      </c>
      <c r="F142" s="13">
        <v>1</v>
      </c>
      <c r="H142" s="13">
        <f t="shared" si="50"/>
        <v>0</v>
      </c>
      <c r="I142" s="13">
        <f t="shared" si="51"/>
        <v>0</v>
      </c>
      <c r="J142" s="13">
        <f t="shared" si="52"/>
        <v>0</v>
      </c>
      <c r="K142" s="13">
        <v>0.004</v>
      </c>
      <c r="L142" s="13">
        <f t="shared" si="53"/>
        <v>0.004</v>
      </c>
      <c r="N142" s="25" t="s">
        <v>511</v>
      </c>
      <c r="O142" s="13">
        <f t="shared" si="54"/>
        <v>0</v>
      </c>
      <c r="Z142" s="13">
        <f t="shared" si="55"/>
        <v>0</v>
      </c>
      <c r="AA142" s="13">
        <f t="shared" si="56"/>
        <v>0</v>
      </c>
      <c r="AB142" s="13">
        <f t="shared" si="57"/>
        <v>0</v>
      </c>
      <c r="AD142" s="13">
        <v>20</v>
      </c>
      <c r="AE142" s="13">
        <f t="shared" si="58"/>
        <v>0</v>
      </c>
      <c r="AF142" s="13">
        <f t="shared" si="59"/>
        <v>0</v>
      </c>
    </row>
    <row r="143" spans="1:32" ht="12.75">
      <c r="A143" s="5" t="s">
        <v>119</v>
      </c>
      <c r="B143" s="5" t="s">
        <v>152</v>
      </c>
      <c r="C143" s="5" t="s">
        <v>276</v>
      </c>
      <c r="D143" s="5" t="s">
        <v>446</v>
      </c>
      <c r="E143" s="5" t="s">
        <v>492</v>
      </c>
      <c r="F143" s="13">
        <v>1</v>
      </c>
      <c r="H143" s="13">
        <f t="shared" si="50"/>
        <v>0</v>
      </c>
      <c r="I143" s="13">
        <f t="shared" si="51"/>
        <v>0</v>
      </c>
      <c r="J143" s="13">
        <f t="shared" si="52"/>
        <v>0</v>
      </c>
      <c r="K143" s="13">
        <v>0.002</v>
      </c>
      <c r="L143" s="13">
        <f t="shared" si="53"/>
        <v>0.002</v>
      </c>
      <c r="N143" s="25" t="s">
        <v>511</v>
      </c>
      <c r="O143" s="13">
        <f t="shared" si="54"/>
        <v>0</v>
      </c>
      <c r="Z143" s="13">
        <f t="shared" si="55"/>
        <v>0</v>
      </c>
      <c r="AA143" s="13">
        <f t="shared" si="56"/>
        <v>0</v>
      </c>
      <c r="AB143" s="13">
        <f t="shared" si="57"/>
        <v>0</v>
      </c>
      <c r="AD143" s="13">
        <v>20</v>
      </c>
      <c r="AE143" s="13">
        <f t="shared" si="58"/>
        <v>0</v>
      </c>
      <c r="AF143" s="13">
        <f t="shared" si="59"/>
        <v>0</v>
      </c>
    </row>
    <row r="144" spans="1:32" ht="12.75">
      <c r="A144" s="5" t="s">
        <v>120</v>
      </c>
      <c r="B144" s="5" t="s">
        <v>152</v>
      </c>
      <c r="C144" s="5" t="s">
        <v>277</v>
      </c>
      <c r="D144" s="5" t="s">
        <v>447</v>
      </c>
      <c r="E144" s="5" t="s">
        <v>492</v>
      </c>
      <c r="F144" s="13">
        <v>1</v>
      </c>
      <c r="H144" s="13">
        <f t="shared" si="50"/>
        <v>0</v>
      </c>
      <c r="I144" s="13">
        <f t="shared" si="51"/>
        <v>0</v>
      </c>
      <c r="J144" s="13">
        <f t="shared" si="52"/>
        <v>0</v>
      </c>
      <c r="K144" s="13">
        <v>0.002</v>
      </c>
      <c r="L144" s="13">
        <f t="shared" si="53"/>
        <v>0.002</v>
      </c>
      <c r="N144" s="25" t="s">
        <v>511</v>
      </c>
      <c r="O144" s="13">
        <f t="shared" si="54"/>
        <v>0</v>
      </c>
      <c r="Z144" s="13">
        <f t="shared" si="55"/>
        <v>0</v>
      </c>
      <c r="AA144" s="13">
        <f t="shared" si="56"/>
        <v>0</v>
      </c>
      <c r="AB144" s="13">
        <f t="shared" si="57"/>
        <v>0</v>
      </c>
      <c r="AD144" s="13">
        <v>20</v>
      </c>
      <c r="AE144" s="13">
        <f t="shared" si="58"/>
        <v>0</v>
      </c>
      <c r="AF144" s="13">
        <f t="shared" si="59"/>
        <v>0</v>
      </c>
    </row>
    <row r="145" spans="1:32" ht="12.75">
      <c r="A145" s="5" t="s">
        <v>121</v>
      </c>
      <c r="B145" s="5" t="s">
        <v>152</v>
      </c>
      <c r="C145" s="5" t="s">
        <v>278</v>
      </c>
      <c r="D145" s="5" t="s">
        <v>448</v>
      </c>
      <c r="E145" s="5" t="s">
        <v>492</v>
      </c>
      <c r="F145" s="13">
        <v>1</v>
      </c>
      <c r="H145" s="13">
        <f t="shared" si="50"/>
        <v>0</v>
      </c>
      <c r="I145" s="13">
        <f t="shared" si="51"/>
        <v>0</v>
      </c>
      <c r="J145" s="13">
        <f t="shared" si="52"/>
        <v>0</v>
      </c>
      <c r="K145" s="13">
        <v>0.003</v>
      </c>
      <c r="L145" s="13">
        <f t="shared" si="53"/>
        <v>0.003</v>
      </c>
      <c r="N145" s="25" t="s">
        <v>511</v>
      </c>
      <c r="O145" s="13">
        <f t="shared" si="54"/>
        <v>0</v>
      </c>
      <c r="Z145" s="13">
        <f t="shared" si="55"/>
        <v>0</v>
      </c>
      <c r="AA145" s="13">
        <f t="shared" si="56"/>
        <v>0</v>
      </c>
      <c r="AB145" s="13">
        <f t="shared" si="57"/>
        <v>0</v>
      </c>
      <c r="AD145" s="13">
        <v>20</v>
      </c>
      <c r="AE145" s="13">
        <f t="shared" si="58"/>
        <v>0</v>
      </c>
      <c r="AF145" s="13">
        <f t="shared" si="59"/>
        <v>0</v>
      </c>
    </row>
    <row r="146" spans="1:32" ht="12.75">
      <c r="A146" s="5" t="s">
        <v>122</v>
      </c>
      <c r="B146" s="5" t="s">
        <v>152</v>
      </c>
      <c r="C146" s="5" t="s">
        <v>279</v>
      </c>
      <c r="D146" s="5" t="s">
        <v>449</v>
      </c>
      <c r="E146" s="5" t="s">
        <v>489</v>
      </c>
      <c r="F146" s="13">
        <v>14</v>
      </c>
      <c r="H146" s="13">
        <f t="shared" si="50"/>
        <v>0</v>
      </c>
      <c r="I146" s="13">
        <f t="shared" si="51"/>
        <v>0</v>
      </c>
      <c r="J146" s="13">
        <f t="shared" si="52"/>
        <v>0</v>
      </c>
      <c r="K146" s="13">
        <v>0.059</v>
      </c>
      <c r="L146" s="13">
        <f t="shared" si="53"/>
        <v>0.826</v>
      </c>
      <c r="N146" s="25" t="s">
        <v>7</v>
      </c>
      <c r="O146" s="13">
        <f t="shared" si="54"/>
        <v>0</v>
      </c>
      <c r="Z146" s="13">
        <f t="shared" si="55"/>
        <v>0</v>
      </c>
      <c r="AA146" s="13">
        <f t="shared" si="56"/>
        <v>0</v>
      </c>
      <c r="AB146" s="13">
        <f t="shared" si="57"/>
        <v>0</v>
      </c>
      <c r="AD146" s="13">
        <v>20</v>
      </c>
      <c r="AE146" s="13">
        <f>G146*0.198142821684601</f>
        <v>0</v>
      </c>
      <c r="AF146" s="13">
        <f>G146*(1-0.198142821684601)</f>
        <v>0</v>
      </c>
    </row>
    <row r="147" spans="1:32" ht="12.75">
      <c r="A147" s="5" t="s">
        <v>123</v>
      </c>
      <c r="B147" s="5" t="s">
        <v>152</v>
      </c>
      <c r="C147" s="5" t="s">
        <v>280</v>
      </c>
      <c r="D147" s="5" t="s">
        <v>450</v>
      </c>
      <c r="E147" s="5" t="s">
        <v>489</v>
      </c>
      <c r="F147" s="13">
        <v>1.5</v>
      </c>
      <c r="H147" s="13">
        <f t="shared" si="50"/>
        <v>0</v>
      </c>
      <c r="I147" s="13">
        <f t="shared" si="51"/>
        <v>0</v>
      </c>
      <c r="J147" s="13">
        <f t="shared" si="52"/>
        <v>0</v>
      </c>
      <c r="K147" s="13">
        <v>0.049</v>
      </c>
      <c r="L147" s="13">
        <f t="shared" si="53"/>
        <v>0.07350000000000001</v>
      </c>
      <c r="N147" s="25" t="s">
        <v>7</v>
      </c>
      <c r="O147" s="13">
        <f t="shared" si="54"/>
        <v>0</v>
      </c>
      <c r="Z147" s="13">
        <f t="shared" si="55"/>
        <v>0</v>
      </c>
      <c r="AA147" s="13">
        <f t="shared" si="56"/>
        <v>0</v>
      </c>
      <c r="AB147" s="13">
        <f t="shared" si="57"/>
        <v>0</v>
      </c>
      <c r="AD147" s="13">
        <v>20</v>
      </c>
      <c r="AE147" s="13">
        <f>G147*0.408916760767866</f>
        <v>0</v>
      </c>
      <c r="AF147" s="13">
        <f>G147*(1-0.408916760767866)</f>
        <v>0</v>
      </c>
    </row>
    <row r="148" spans="1:37" ht="12.75">
      <c r="A148" s="4"/>
      <c r="B148" s="4"/>
      <c r="C148" s="11" t="s">
        <v>281</v>
      </c>
      <c r="D148" s="49" t="s">
        <v>451</v>
      </c>
      <c r="E148" s="50"/>
      <c r="F148" s="50"/>
      <c r="G148" s="50"/>
      <c r="H148" s="27">
        <f>SUM(H149:H161)</f>
        <v>0</v>
      </c>
      <c r="I148" s="27">
        <f>SUM(I149:I161)</f>
        <v>0</v>
      </c>
      <c r="J148" s="27">
        <f>H148+I148</f>
        <v>0</v>
      </c>
      <c r="K148" s="22"/>
      <c r="L148" s="27">
        <f>SUM(L149:L161)</f>
        <v>0.011</v>
      </c>
      <c r="P148" s="27">
        <f>IF(Q148="PR",J148,SUM(O149:O161))</f>
        <v>0</v>
      </c>
      <c r="Q148" s="22" t="s">
        <v>516</v>
      </c>
      <c r="R148" s="27">
        <f>IF(Q148="HS",H148,0)</f>
        <v>0</v>
      </c>
      <c r="S148" s="27">
        <f>IF(Q148="HS",I148-P148,0)</f>
        <v>0</v>
      </c>
      <c r="T148" s="27">
        <f>IF(Q148="PS",H148,0)</f>
        <v>0</v>
      </c>
      <c r="U148" s="27">
        <f>IF(Q148="PS",I148-P148,0)</f>
        <v>0</v>
      </c>
      <c r="V148" s="27">
        <f>IF(Q148="MP",H148,0)</f>
        <v>0</v>
      </c>
      <c r="W148" s="27">
        <f>IF(Q148="MP",I148-P148,0)</f>
        <v>0</v>
      </c>
      <c r="X148" s="27">
        <f>IF(Q148="OM",H148,0)</f>
        <v>0</v>
      </c>
      <c r="Y148" s="22" t="s">
        <v>152</v>
      </c>
      <c r="AI148" s="27">
        <f>SUM(Z149:Z161)</f>
        <v>0</v>
      </c>
      <c r="AJ148" s="27">
        <f>SUM(AA149:AA161)</f>
        <v>0</v>
      </c>
      <c r="AK148" s="27">
        <f>SUM(AB149:AB161)</f>
        <v>0</v>
      </c>
    </row>
    <row r="149" spans="1:32" ht="12.75">
      <c r="A149" s="5" t="s">
        <v>124</v>
      </c>
      <c r="B149" s="5" t="s">
        <v>152</v>
      </c>
      <c r="C149" s="5" t="s">
        <v>282</v>
      </c>
      <c r="D149" s="5" t="s">
        <v>452</v>
      </c>
      <c r="E149" s="5" t="s">
        <v>492</v>
      </c>
      <c r="F149" s="13">
        <v>2</v>
      </c>
      <c r="H149" s="13">
        <f aca="true" t="shared" si="60" ref="H149:H161">ROUND(F149*AE149,2)</f>
        <v>0</v>
      </c>
      <c r="I149" s="13">
        <f aca="true" t="shared" si="61" ref="I149:I161">J149-H149</f>
        <v>0</v>
      </c>
      <c r="J149" s="13">
        <f aca="true" t="shared" si="62" ref="J149:J161">ROUND(F149*G149,2)</f>
        <v>0</v>
      </c>
      <c r="K149" s="13">
        <v>0</v>
      </c>
      <c r="L149" s="13">
        <f aca="true" t="shared" si="63" ref="L149:L161">F149*K149</f>
        <v>0</v>
      </c>
      <c r="N149" s="25" t="s">
        <v>511</v>
      </c>
      <c r="O149" s="13">
        <f aca="true" t="shared" si="64" ref="O149:O161">IF(N149="5",I149,0)</f>
        <v>0</v>
      </c>
      <c r="Z149" s="13">
        <f aca="true" t="shared" si="65" ref="Z149:Z161">IF(AD149=0,J149,0)</f>
        <v>0</v>
      </c>
      <c r="AA149" s="13">
        <f aca="true" t="shared" si="66" ref="AA149:AA161">IF(AD149=10,J149,0)</f>
        <v>0</v>
      </c>
      <c r="AB149" s="13">
        <f aca="true" t="shared" si="67" ref="AB149:AB161">IF(AD149=20,J149,0)</f>
        <v>0</v>
      </c>
      <c r="AD149" s="13">
        <v>20</v>
      </c>
      <c r="AE149" s="13">
        <f aca="true" t="shared" si="68" ref="AE149:AE157">G149*1</f>
        <v>0</v>
      </c>
      <c r="AF149" s="13">
        <f aca="true" t="shared" si="69" ref="AF149:AF157">G149*(1-1)</f>
        <v>0</v>
      </c>
    </row>
    <row r="150" spans="1:32" ht="12.75">
      <c r="A150" s="5" t="s">
        <v>125</v>
      </c>
      <c r="B150" s="5" t="s">
        <v>152</v>
      </c>
      <c r="C150" s="5" t="s">
        <v>283</v>
      </c>
      <c r="D150" s="5" t="s">
        <v>453</v>
      </c>
      <c r="E150" s="5" t="s">
        <v>492</v>
      </c>
      <c r="F150" s="13">
        <v>1</v>
      </c>
      <c r="H150" s="13">
        <f t="shared" si="60"/>
        <v>0</v>
      </c>
      <c r="I150" s="13">
        <f t="shared" si="61"/>
        <v>0</v>
      </c>
      <c r="J150" s="13">
        <f t="shared" si="62"/>
        <v>0</v>
      </c>
      <c r="K150" s="13">
        <v>0.001</v>
      </c>
      <c r="L150" s="13">
        <f t="shared" si="63"/>
        <v>0.001</v>
      </c>
      <c r="N150" s="25" t="s">
        <v>511</v>
      </c>
      <c r="O150" s="13">
        <f t="shared" si="64"/>
        <v>0</v>
      </c>
      <c r="Z150" s="13">
        <f t="shared" si="65"/>
        <v>0</v>
      </c>
      <c r="AA150" s="13">
        <f t="shared" si="66"/>
        <v>0</v>
      </c>
      <c r="AB150" s="13">
        <f t="shared" si="67"/>
        <v>0</v>
      </c>
      <c r="AD150" s="13">
        <v>20</v>
      </c>
      <c r="AE150" s="13">
        <f t="shared" si="68"/>
        <v>0</v>
      </c>
      <c r="AF150" s="13">
        <f t="shared" si="69"/>
        <v>0</v>
      </c>
    </row>
    <row r="151" spans="1:32" ht="12.75">
      <c r="A151" s="5" t="s">
        <v>126</v>
      </c>
      <c r="B151" s="5" t="s">
        <v>152</v>
      </c>
      <c r="C151" s="5" t="s">
        <v>284</v>
      </c>
      <c r="D151" s="5" t="s">
        <v>454</v>
      </c>
      <c r="E151" s="5" t="s">
        <v>492</v>
      </c>
      <c r="F151" s="13">
        <v>1</v>
      </c>
      <c r="H151" s="13">
        <f t="shared" si="60"/>
        <v>0</v>
      </c>
      <c r="I151" s="13">
        <f t="shared" si="61"/>
        <v>0</v>
      </c>
      <c r="J151" s="13">
        <f t="shared" si="62"/>
        <v>0</v>
      </c>
      <c r="K151" s="13">
        <v>0</v>
      </c>
      <c r="L151" s="13">
        <f t="shared" si="63"/>
        <v>0</v>
      </c>
      <c r="N151" s="25" t="s">
        <v>511</v>
      </c>
      <c r="O151" s="13">
        <f t="shared" si="64"/>
        <v>0</v>
      </c>
      <c r="Z151" s="13">
        <f t="shared" si="65"/>
        <v>0</v>
      </c>
      <c r="AA151" s="13">
        <f t="shared" si="66"/>
        <v>0</v>
      </c>
      <c r="AB151" s="13">
        <f t="shared" si="67"/>
        <v>0</v>
      </c>
      <c r="AD151" s="13">
        <v>20</v>
      </c>
      <c r="AE151" s="13">
        <f t="shared" si="68"/>
        <v>0</v>
      </c>
      <c r="AF151" s="13">
        <f t="shared" si="69"/>
        <v>0</v>
      </c>
    </row>
    <row r="152" spans="1:32" ht="12.75">
      <c r="A152" s="5" t="s">
        <v>127</v>
      </c>
      <c r="B152" s="5" t="s">
        <v>152</v>
      </c>
      <c r="C152" s="5" t="s">
        <v>285</v>
      </c>
      <c r="D152" s="5" t="s">
        <v>455</v>
      </c>
      <c r="E152" s="5" t="s">
        <v>492</v>
      </c>
      <c r="F152" s="13">
        <v>1</v>
      </c>
      <c r="H152" s="13">
        <f t="shared" si="60"/>
        <v>0</v>
      </c>
      <c r="I152" s="13">
        <f t="shared" si="61"/>
        <v>0</v>
      </c>
      <c r="J152" s="13">
        <f t="shared" si="62"/>
        <v>0</v>
      </c>
      <c r="K152" s="13">
        <v>0</v>
      </c>
      <c r="L152" s="13">
        <f t="shared" si="63"/>
        <v>0</v>
      </c>
      <c r="N152" s="25" t="s">
        <v>511</v>
      </c>
      <c r="O152" s="13">
        <f t="shared" si="64"/>
        <v>0</v>
      </c>
      <c r="Z152" s="13">
        <f t="shared" si="65"/>
        <v>0</v>
      </c>
      <c r="AA152" s="13">
        <f t="shared" si="66"/>
        <v>0</v>
      </c>
      <c r="AB152" s="13">
        <f t="shared" si="67"/>
        <v>0</v>
      </c>
      <c r="AD152" s="13">
        <v>20</v>
      </c>
      <c r="AE152" s="13">
        <f t="shared" si="68"/>
        <v>0</v>
      </c>
      <c r="AF152" s="13">
        <f t="shared" si="69"/>
        <v>0</v>
      </c>
    </row>
    <row r="153" spans="1:32" ht="12.75">
      <c r="A153" s="5" t="s">
        <v>128</v>
      </c>
      <c r="B153" s="5" t="s">
        <v>152</v>
      </c>
      <c r="C153" s="5" t="s">
        <v>286</v>
      </c>
      <c r="D153" s="5" t="s">
        <v>456</v>
      </c>
      <c r="E153" s="5" t="s">
        <v>492</v>
      </c>
      <c r="F153" s="13">
        <v>5</v>
      </c>
      <c r="H153" s="13">
        <f t="shared" si="60"/>
        <v>0</v>
      </c>
      <c r="I153" s="13">
        <f t="shared" si="61"/>
        <v>0</v>
      </c>
      <c r="J153" s="13">
        <f t="shared" si="62"/>
        <v>0</v>
      </c>
      <c r="K153" s="13">
        <v>0</v>
      </c>
      <c r="L153" s="13">
        <f t="shared" si="63"/>
        <v>0</v>
      </c>
      <c r="N153" s="25" t="s">
        <v>511</v>
      </c>
      <c r="O153" s="13">
        <f t="shared" si="64"/>
        <v>0</v>
      </c>
      <c r="Z153" s="13">
        <f t="shared" si="65"/>
        <v>0</v>
      </c>
      <c r="AA153" s="13">
        <f t="shared" si="66"/>
        <v>0</v>
      </c>
      <c r="AB153" s="13">
        <f t="shared" si="67"/>
        <v>0</v>
      </c>
      <c r="AD153" s="13">
        <v>20</v>
      </c>
      <c r="AE153" s="13">
        <f t="shared" si="68"/>
        <v>0</v>
      </c>
      <c r="AF153" s="13">
        <f t="shared" si="69"/>
        <v>0</v>
      </c>
    </row>
    <row r="154" spans="1:32" ht="12.75">
      <c r="A154" s="5" t="s">
        <v>129</v>
      </c>
      <c r="B154" s="5" t="s">
        <v>152</v>
      </c>
      <c r="C154" s="5" t="s">
        <v>287</v>
      </c>
      <c r="D154" s="5" t="s">
        <v>457</v>
      </c>
      <c r="E154" s="5" t="s">
        <v>494</v>
      </c>
      <c r="F154" s="13">
        <v>2</v>
      </c>
      <c r="H154" s="13">
        <f t="shared" si="60"/>
        <v>0</v>
      </c>
      <c r="I154" s="13">
        <f t="shared" si="61"/>
        <v>0</v>
      </c>
      <c r="J154" s="13">
        <f t="shared" si="62"/>
        <v>0</v>
      </c>
      <c r="K154" s="13">
        <v>0</v>
      </c>
      <c r="L154" s="13">
        <f t="shared" si="63"/>
        <v>0</v>
      </c>
      <c r="N154" s="25" t="s">
        <v>511</v>
      </c>
      <c r="O154" s="13">
        <f t="shared" si="64"/>
        <v>0</v>
      </c>
      <c r="Z154" s="13">
        <f t="shared" si="65"/>
        <v>0</v>
      </c>
      <c r="AA154" s="13">
        <f t="shared" si="66"/>
        <v>0</v>
      </c>
      <c r="AB154" s="13">
        <f t="shared" si="67"/>
        <v>0</v>
      </c>
      <c r="AD154" s="13">
        <v>20</v>
      </c>
      <c r="AE154" s="13">
        <f t="shared" si="68"/>
        <v>0</v>
      </c>
      <c r="AF154" s="13">
        <f t="shared" si="69"/>
        <v>0</v>
      </c>
    </row>
    <row r="155" spans="1:32" ht="12.75">
      <c r="A155" s="5" t="s">
        <v>130</v>
      </c>
      <c r="B155" s="5" t="s">
        <v>152</v>
      </c>
      <c r="C155" s="5" t="s">
        <v>288</v>
      </c>
      <c r="D155" s="5" t="s">
        <v>458</v>
      </c>
      <c r="E155" s="5" t="s">
        <v>494</v>
      </c>
      <c r="F155" s="13">
        <v>2</v>
      </c>
      <c r="H155" s="13">
        <f t="shared" si="60"/>
        <v>0</v>
      </c>
      <c r="I155" s="13">
        <f t="shared" si="61"/>
        <v>0</v>
      </c>
      <c r="J155" s="13">
        <f t="shared" si="62"/>
        <v>0</v>
      </c>
      <c r="K155" s="13">
        <v>0</v>
      </c>
      <c r="L155" s="13">
        <f t="shared" si="63"/>
        <v>0</v>
      </c>
      <c r="N155" s="25" t="s">
        <v>511</v>
      </c>
      <c r="O155" s="13">
        <f t="shared" si="64"/>
        <v>0</v>
      </c>
      <c r="Z155" s="13">
        <f t="shared" si="65"/>
        <v>0</v>
      </c>
      <c r="AA155" s="13">
        <f t="shared" si="66"/>
        <v>0</v>
      </c>
      <c r="AB155" s="13">
        <f t="shared" si="67"/>
        <v>0</v>
      </c>
      <c r="AD155" s="13">
        <v>20</v>
      </c>
      <c r="AE155" s="13">
        <f t="shared" si="68"/>
        <v>0</v>
      </c>
      <c r="AF155" s="13">
        <f t="shared" si="69"/>
        <v>0</v>
      </c>
    </row>
    <row r="156" spans="1:32" ht="12.75">
      <c r="A156" s="5" t="s">
        <v>131</v>
      </c>
      <c r="B156" s="5" t="s">
        <v>152</v>
      </c>
      <c r="C156" s="5" t="s">
        <v>289</v>
      </c>
      <c r="D156" s="5" t="s">
        <v>454</v>
      </c>
      <c r="E156" s="5" t="s">
        <v>492</v>
      </c>
      <c r="F156" s="13">
        <v>2</v>
      </c>
      <c r="H156" s="13">
        <f t="shared" si="60"/>
        <v>0</v>
      </c>
      <c r="I156" s="13">
        <f t="shared" si="61"/>
        <v>0</v>
      </c>
      <c r="J156" s="13">
        <f t="shared" si="62"/>
        <v>0</v>
      </c>
      <c r="K156" s="13">
        <v>0</v>
      </c>
      <c r="L156" s="13">
        <f t="shared" si="63"/>
        <v>0</v>
      </c>
      <c r="N156" s="25" t="s">
        <v>511</v>
      </c>
      <c r="O156" s="13">
        <f t="shared" si="64"/>
        <v>0</v>
      </c>
      <c r="Z156" s="13">
        <f t="shared" si="65"/>
        <v>0</v>
      </c>
      <c r="AA156" s="13">
        <f t="shared" si="66"/>
        <v>0</v>
      </c>
      <c r="AB156" s="13">
        <f t="shared" si="67"/>
        <v>0</v>
      </c>
      <c r="AD156" s="13">
        <v>20</v>
      </c>
      <c r="AE156" s="13">
        <f t="shared" si="68"/>
        <v>0</v>
      </c>
      <c r="AF156" s="13">
        <f t="shared" si="69"/>
        <v>0</v>
      </c>
    </row>
    <row r="157" spans="1:32" ht="12.75">
      <c r="A157" s="5" t="s">
        <v>132</v>
      </c>
      <c r="B157" s="5" t="s">
        <v>152</v>
      </c>
      <c r="C157" s="5" t="s">
        <v>290</v>
      </c>
      <c r="D157" s="5" t="s">
        <v>459</v>
      </c>
      <c r="E157" s="5" t="s">
        <v>492</v>
      </c>
      <c r="F157" s="13">
        <v>5</v>
      </c>
      <c r="H157" s="13">
        <f t="shared" si="60"/>
        <v>0</v>
      </c>
      <c r="I157" s="13">
        <f t="shared" si="61"/>
        <v>0</v>
      </c>
      <c r="J157" s="13">
        <f t="shared" si="62"/>
        <v>0</v>
      </c>
      <c r="K157" s="13">
        <v>0.002</v>
      </c>
      <c r="L157" s="13">
        <f t="shared" si="63"/>
        <v>0.01</v>
      </c>
      <c r="N157" s="25" t="s">
        <v>511</v>
      </c>
      <c r="O157" s="13">
        <f t="shared" si="64"/>
        <v>0</v>
      </c>
      <c r="Z157" s="13">
        <f t="shared" si="65"/>
        <v>0</v>
      </c>
      <c r="AA157" s="13">
        <f t="shared" si="66"/>
        <v>0</v>
      </c>
      <c r="AB157" s="13">
        <f t="shared" si="67"/>
        <v>0</v>
      </c>
      <c r="AD157" s="13">
        <v>20</v>
      </c>
      <c r="AE157" s="13">
        <f t="shared" si="68"/>
        <v>0</v>
      </c>
      <c r="AF157" s="13">
        <f t="shared" si="69"/>
        <v>0</v>
      </c>
    </row>
    <row r="158" spans="1:32" ht="12.75">
      <c r="A158" s="5" t="s">
        <v>133</v>
      </c>
      <c r="B158" s="5" t="s">
        <v>152</v>
      </c>
      <c r="C158" s="5" t="s">
        <v>291</v>
      </c>
      <c r="D158" s="5" t="s">
        <v>460</v>
      </c>
      <c r="E158" s="5" t="s">
        <v>490</v>
      </c>
      <c r="F158" s="13">
        <v>3</v>
      </c>
      <c r="H158" s="13">
        <f t="shared" si="60"/>
        <v>0</v>
      </c>
      <c r="I158" s="13">
        <f t="shared" si="61"/>
        <v>0</v>
      </c>
      <c r="J158" s="13">
        <f t="shared" si="62"/>
        <v>0</v>
      </c>
      <c r="K158" s="13">
        <v>0</v>
      </c>
      <c r="L158" s="13">
        <f t="shared" si="63"/>
        <v>0</v>
      </c>
      <c r="N158" s="25" t="s">
        <v>8</v>
      </c>
      <c r="O158" s="13">
        <f t="shared" si="64"/>
        <v>0</v>
      </c>
      <c r="Z158" s="13">
        <f t="shared" si="65"/>
        <v>0</v>
      </c>
      <c r="AA158" s="13">
        <f t="shared" si="66"/>
        <v>0</v>
      </c>
      <c r="AB158" s="13">
        <f t="shared" si="67"/>
        <v>0</v>
      </c>
      <c r="AD158" s="13">
        <v>20</v>
      </c>
      <c r="AE158" s="13">
        <f>G158*0</f>
        <v>0</v>
      </c>
      <c r="AF158" s="13">
        <f>G158*(1-0)</f>
        <v>0</v>
      </c>
    </row>
    <row r="159" spans="1:32" ht="12.75">
      <c r="A159" s="5" t="s">
        <v>134</v>
      </c>
      <c r="B159" s="5" t="s">
        <v>152</v>
      </c>
      <c r="C159" s="5" t="s">
        <v>292</v>
      </c>
      <c r="D159" s="5" t="s">
        <v>461</v>
      </c>
      <c r="E159" s="5" t="s">
        <v>490</v>
      </c>
      <c r="F159" s="13">
        <v>1</v>
      </c>
      <c r="H159" s="13">
        <f t="shared" si="60"/>
        <v>0</v>
      </c>
      <c r="I159" s="13">
        <f t="shared" si="61"/>
        <v>0</v>
      </c>
      <c r="J159" s="13">
        <f t="shared" si="62"/>
        <v>0</v>
      </c>
      <c r="K159" s="13">
        <v>0</v>
      </c>
      <c r="L159" s="13">
        <f t="shared" si="63"/>
        <v>0</v>
      </c>
      <c r="N159" s="25" t="s">
        <v>8</v>
      </c>
      <c r="O159" s="13">
        <f t="shared" si="64"/>
        <v>0</v>
      </c>
      <c r="Z159" s="13">
        <f t="shared" si="65"/>
        <v>0</v>
      </c>
      <c r="AA159" s="13">
        <f t="shared" si="66"/>
        <v>0</v>
      </c>
      <c r="AB159" s="13">
        <f t="shared" si="67"/>
        <v>0</v>
      </c>
      <c r="AD159" s="13">
        <v>20</v>
      </c>
      <c r="AE159" s="13">
        <f>G159*0</f>
        <v>0</v>
      </c>
      <c r="AF159" s="13">
        <f>G159*(1-0)</f>
        <v>0</v>
      </c>
    </row>
    <row r="160" spans="1:32" ht="12.75">
      <c r="A160" s="5" t="s">
        <v>135</v>
      </c>
      <c r="B160" s="5" t="s">
        <v>152</v>
      </c>
      <c r="C160" s="5" t="s">
        <v>293</v>
      </c>
      <c r="D160" s="5" t="s">
        <v>462</v>
      </c>
      <c r="E160" s="5" t="s">
        <v>490</v>
      </c>
      <c r="F160" s="13">
        <v>13</v>
      </c>
      <c r="H160" s="13">
        <f t="shared" si="60"/>
        <v>0</v>
      </c>
      <c r="I160" s="13">
        <f t="shared" si="61"/>
        <v>0</v>
      </c>
      <c r="J160" s="13">
        <f t="shared" si="62"/>
        <v>0</v>
      </c>
      <c r="K160" s="13">
        <v>0</v>
      </c>
      <c r="L160" s="13">
        <f t="shared" si="63"/>
        <v>0</v>
      </c>
      <c r="N160" s="25" t="s">
        <v>8</v>
      </c>
      <c r="O160" s="13">
        <f t="shared" si="64"/>
        <v>0</v>
      </c>
      <c r="Z160" s="13">
        <f t="shared" si="65"/>
        <v>0</v>
      </c>
      <c r="AA160" s="13">
        <f t="shared" si="66"/>
        <v>0</v>
      </c>
      <c r="AB160" s="13">
        <f t="shared" si="67"/>
        <v>0</v>
      </c>
      <c r="AD160" s="13">
        <v>20</v>
      </c>
      <c r="AE160" s="13">
        <f>G160*0</f>
        <v>0</v>
      </c>
      <c r="AF160" s="13">
        <f>G160*(1-0)</f>
        <v>0</v>
      </c>
    </row>
    <row r="161" spans="1:32" ht="12.75">
      <c r="A161" s="5" t="s">
        <v>136</v>
      </c>
      <c r="B161" s="5" t="s">
        <v>152</v>
      </c>
      <c r="C161" s="5" t="s">
        <v>294</v>
      </c>
      <c r="D161" s="5" t="s">
        <v>463</v>
      </c>
      <c r="E161" s="5" t="s">
        <v>490</v>
      </c>
      <c r="F161" s="13">
        <v>5</v>
      </c>
      <c r="H161" s="13">
        <f t="shared" si="60"/>
        <v>0</v>
      </c>
      <c r="I161" s="13">
        <f t="shared" si="61"/>
        <v>0</v>
      </c>
      <c r="J161" s="13">
        <f t="shared" si="62"/>
        <v>0</v>
      </c>
      <c r="K161" s="13">
        <v>0</v>
      </c>
      <c r="L161" s="13">
        <f t="shared" si="63"/>
        <v>0</v>
      </c>
      <c r="N161" s="25" t="s">
        <v>8</v>
      </c>
      <c r="O161" s="13">
        <f t="shared" si="64"/>
        <v>0</v>
      </c>
      <c r="Z161" s="13">
        <f t="shared" si="65"/>
        <v>0</v>
      </c>
      <c r="AA161" s="13">
        <f t="shared" si="66"/>
        <v>0</v>
      </c>
      <c r="AB161" s="13">
        <f t="shared" si="67"/>
        <v>0</v>
      </c>
      <c r="AD161" s="13">
        <v>20</v>
      </c>
      <c r="AE161" s="13">
        <f>G161*0</f>
        <v>0</v>
      </c>
      <c r="AF161" s="13">
        <f>G161*(1-0)</f>
        <v>0</v>
      </c>
    </row>
    <row r="162" spans="1:12" ht="12.75">
      <c r="A162" s="4"/>
      <c r="B162" s="4"/>
      <c r="C162" s="11"/>
      <c r="D162" s="49" t="s">
        <v>464</v>
      </c>
      <c r="E162" s="50"/>
      <c r="F162" s="50"/>
      <c r="G162" s="50"/>
      <c r="H162" s="27">
        <f>H163+H171</f>
        <v>0</v>
      </c>
      <c r="I162" s="27">
        <f>I163+I171</f>
        <v>0</v>
      </c>
      <c r="J162" s="27">
        <f>H162+I162</f>
        <v>0</v>
      </c>
      <c r="K162" s="22"/>
      <c r="L162" s="27">
        <f>L163+L171</f>
        <v>0.04144</v>
      </c>
    </row>
    <row r="163" spans="1:37" ht="12.75">
      <c r="A163" s="4"/>
      <c r="B163" s="4"/>
      <c r="C163" s="11" t="s">
        <v>295</v>
      </c>
      <c r="D163" s="49" t="s">
        <v>465</v>
      </c>
      <c r="E163" s="50"/>
      <c r="F163" s="50"/>
      <c r="G163" s="50"/>
      <c r="H163" s="27">
        <f>SUM(H164:H170)</f>
        <v>0</v>
      </c>
      <c r="I163" s="27">
        <f>SUM(I164:I170)</f>
        <v>0</v>
      </c>
      <c r="J163" s="27">
        <f>H163+I163</f>
        <v>0</v>
      </c>
      <c r="K163" s="22"/>
      <c r="L163" s="27">
        <f>SUM(L164:L170)</f>
        <v>0.00503</v>
      </c>
      <c r="P163" s="27">
        <f>IF(Q163="PR",J163,SUM(O164:O170))</f>
        <v>0</v>
      </c>
      <c r="Q163" s="22" t="s">
        <v>515</v>
      </c>
      <c r="R163" s="27">
        <f>IF(Q163="HS",H163,0)</f>
        <v>0</v>
      </c>
      <c r="S163" s="27">
        <f>IF(Q163="HS",I163-P163,0)</f>
        <v>0</v>
      </c>
      <c r="T163" s="27">
        <f>IF(Q163="PS",H163,0)</f>
        <v>0</v>
      </c>
      <c r="U163" s="27">
        <f>IF(Q163="PS",I163-P163,0)</f>
        <v>0</v>
      </c>
      <c r="V163" s="27">
        <f>IF(Q163="MP",H163,0)</f>
        <v>0</v>
      </c>
      <c r="W163" s="27">
        <f>IF(Q163="MP",I163-P163,0)</f>
        <v>0</v>
      </c>
      <c r="X163" s="27">
        <f>IF(Q163="OM",H163,0)</f>
        <v>0</v>
      </c>
      <c r="Y163" s="22" t="s">
        <v>153</v>
      </c>
      <c r="AI163" s="27">
        <f>SUM(Z164:Z170)</f>
        <v>0</v>
      </c>
      <c r="AJ163" s="27">
        <f>SUM(AA164:AA170)</f>
        <v>0</v>
      </c>
      <c r="AK163" s="27">
        <f>SUM(AB164:AB170)</f>
        <v>0</v>
      </c>
    </row>
    <row r="164" spans="1:32" ht="12.75">
      <c r="A164" s="5" t="s">
        <v>137</v>
      </c>
      <c r="B164" s="5" t="s">
        <v>153</v>
      </c>
      <c r="C164" s="5" t="s">
        <v>296</v>
      </c>
      <c r="D164" s="5" t="s">
        <v>466</v>
      </c>
      <c r="E164" s="5" t="s">
        <v>490</v>
      </c>
      <c r="F164" s="13">
        <v>2</v>
      </c>
      <c r="H164" s="13">
        <f aca="true" t="shared" si="70" ref="H164:H170">ROUND(F164*AE164,2)</f>
        <v>0</v>
      </c>
      <c r="I164" s="13">
        <f aca="true" t="shared" si="71" ref="I164:I170">J164-H164</f>
        <v>0</v>
      </c>
      <c r="J164" s="13">
        <f aca="true" t="shared" si="72" ref="J164:J170">ROUND(F164*G164,2)</f>
        <v>0</v>
      </c>
      <c r="K164" s="13">
        <v>0.00082</v>
      </c>
      <c r="L164" s="13">
        <f aca="true" t="shared" si="73" ref="L164:L170">F164*K164</f>
        <v>0.00164</v>
      </c>
      <c r="N164" s="25" t="s">
        <v>7</v>
      </c>
      <c r="O164" s="13">
        <f aca="true" t="shared" si="74" ref="O164:O170">IF(N164="5",I164,0)</f>
        <v>0</v>
      </c>
      <c r="Z164" s="13">
        <f aca="true" t="shared" si="75" ref="Z164:Z170">IF(AD164=0,J164,0)</f>
        <v>0</v>
      </c>
      <c r="AA164" s="13">
        <f aca="true" t="shared" si="76" ref="AA164:AA170">IF(AD164=10,J164,0)</f>
        <v>0</v>
      </c>
      <c r="AB164" s="13">
        <f aca="true" t="shared" si="77" ref="AB164:AB170">IF(AD164=20,J164,0)</f>
        <v>0</v>
      </c>
      <c r="AD164" s="13">
        <v>20</v>
      </c>
      <c r="AE164" s="13">
        <f>G164*0.291465873748248</f>
        <v>0</v>
      </c>
      <c r="AF164" s="13">
        <f>G164*(1-0.291465873748248)</f>
        <v>0</v>
      </c>
    </row>
    <row r="165" spans="1:32" ht="12.75">
      <c r="A165" s="5" t="s">
        <v>138</v>
      </c>
      <c r="B165" s="5" t="s">
        <v>153</v>
      </c>
      <c r="C165" s="5" t="s">
        <v>297</v>
      </c>
      <c r="D165" s="5" t="s">
        <v>467</v>
      </c>
      <c r="E165" s="5" t="s">
        <v>490</v>
      </c>
      <c r="F165" s="13">
        <v>1</v>
      </c>
      <c r="H165" s="13">
        <f t="shared" si="70"/>
        <v>0</v>
      </c>
      <c r="I165" s="13">
        <f t="shared" si="71"/>
        <v>0</v>
      </c>
      <c r="J165" s="13">
        <f t="shared" si="72"/>
        <v>0</v>
      </c>
      <c r="K165" s="13">
        <v>0.00105</v>
      </c>
      <c r="L165" s="13">
        <f t="shared" si="73"/>
        <v>0.00105</v>
      </c>
      <c r="N165" s="25" t="s">
        <v>7</v>
      </c>
      <c r="O165" s="13">
        <f t="shared" si="74"/>
        <v>0</v>
      </c>
      <c r="Z165" s="13">
        <f t="shared" si="75"/>
        <v>0</v>
      </c>
      <c r="AA165" s="13">
        <f t="shared" si="76"/>
        <v>0</v>
      </c>
      <c r="AB165" s="13">
        <f t="shared" si="77"/>
        <v>0</v>
      </c>
      <c r="AD165" s="13">
        <v>20</v>
      </c>
      <c r="AE165" s="13">
        <f>G165*0.299952213129443</f>
        <v>0</v>
      </c>
      <c r="AF165" s="13">
        <f>G165*(1-0.299952213129443)</f>
        <v>0</v>
      </c>
    </row>
    <row r="166" spans="1:32" ht="12.75">
      <c r="A166" s="5" t="s">
        <v>139</v>
      </c>
      <c r="B166" s="5" t="s">
        <v>153</v>
      </c>
      <c r="C166" s="5" t="s">
        <v>298</v>
      </c>
      <c r="D166" s="5" t="s">
        <v>468</v>
      </c>
      <c r="E166" s="5" t="s">
        <v>490</v>
      </c>
      <c r="F166" s="13">
        <v>1</v>
      </c>
      <c r="H166" s="13">
        <f t="shared" si="70"/>
        <v>0</v>
      </c>
      <c r="I166" s="13">
        <f t="shared" si="71"/>
        <v>0</v>
      </c>
      <c r="J166" s="13">
        <f t="shared" si="72"/>
        <v>0</v>
      </c>
      <c r="K166" s="13">
        <v>2E-05</v>
      </c>
      <c r="L166" s="13">
        <f t="shared" si="73"/>
        <v>2E-05</v>
      </c>
      <c r="N166" s="25" t="s">
        <v>7</v>
      </c>
      <c r="O166" s="13">
        <f t="shared" si="74"/>
        <v>0</v>
      </c>
      <c r="Z166" s="13">
        <f t="shared" si="75"/>
        <v>0</v>
      </c>
      <c r="AA166" s="13">
        <f t="shared" si="76"/>
        <v>0</v>
      </c>
      <c r="AB166" s="13">
        <f t="shared" si="77"/>
        <v>0</v>
      </c>
      <c r="AD166" s="13">
        <v>20</v>
      </c>
      <c r="AE166" s="13">
        <f>G166*0.970953713086101</f>
        <v>0</v>
      </c>
      <c r="AF166" s="13">
        <f>G166*(1-0.970953713086101)</f>
        <v>0</v>
      </c>
    </row>
    <row r="167" spans="1:32" ht="12.75">
      <c r="A167" s="5" t="s">
        <v>140</v>
      </c>
      <c r="B167" s="5" t="s">
        <v>153</v>
      </c>
      <c r="C167" s="5" t="s">
        <v>299</v>
      </c>
      <c r="D167" s="5" t="s">
        <v>469</v>
      </c>
      <c r="E167" s="5" t="s">
        <v>490</v>
      </c>
      <c r="F167" s="13">
        <v>1</v>
      </c>
      <c r="H167" s="13">
        <f t="shared" si="70"/>
        <v>0</v>
      </c>
      <c r="I167" s="13">
        <f t="shared" si="71"/>
        <v>0</v>
      </c>
      <c r="J167" s="13">
        <f t="shared" si="72"/>
        <v>0</v>
      </c>
      <c r="K167" s="13">
        <v>0.00132</v>
      </c>
      <c r="L167" s="13">
        <f t="shared" si="73"/>
        <v>0.00132</v>
      </c>
      <c r="N167" s="25" t="s">
        <v>7</v>
      </c>
      <c r="O167" s="13">
        <f t="shared" si="74"/>
        <v>0</v>
      </c>
      <c r="Z167" s="13">
        <f t="shared" si="75"/>
        <v>0</v>
      </c>
      <c r="AA167" s="13">
        <f t="shared" si="76"/>
        <v>0</v>
      </c>
      <c r="AB167" s="13">
        <f t="shared" si="77"/>
        <v>0</v>
      </c>
      <c r="AD167" s="13">
        <v>20</v>
      </c>
      <c r="AE167" s="13">
        <f>G167*0.799034470577846</f>
        <v>0</v>
      </c>
      <c r="AF167" s="13">
        <f>G167*(1-0.799034470577846)</f>
        <v>0</v>
      </c>
    </row>
    <row r="168" spans="1:32" ht="12.75">
      <c r="A168" s="5" t="s">
        <v>141</v>
      </c>
      <c r="B168" s="5" t="s">
        <v>153</v>
      </c>
      <c r="C168" s="5" t="s">
        <v>300</v>
      </c>
      <c r="D168" s="5" t="s">
        <v>470</v>
      </c>
      <c r="E168" s="5" t="s">
        <v>490</v>
      </c>
      <c r="F168" s="13">
        <v>1</v>
      </c>
      <c r="H168" s="13">
        <f t="shared" si="70"/>
        <v>0</v>
      </c>
      <c r="I168" s="13">
        <f t="shared" si="71"/>
        <v>0</v>
      </c>
      <c r="J168" s="13">
        <f t="shared" si="72"/>
        <v>0</v>
      </c>
      <c r="K168" s="13">
        <v>0.001</v>
      </c>
      <c r="L168" s="13">
        <f t="shared" si="73"/>
        <v>0.001</v>
      </c>
      <c r="N168" s="25" t="s">
        <v>7</v>
      </c>
      <c r="O168" s="13">
        <f t="shared" si="74"/>
        <v>0</v>
      </c>
      <c r="Z168" s="13">
        <f t="shared" si="75"/>
        <v>0</v>
      </c>
      <c r="AA168" s="13">
        <f t="shared" si="76"/>
        <v>0</v>
      </c>
      <c r="AB168" s="13">
        <f t="shared" si="77"/>
        <v>0</v>
      </c>
      <c r="AD168" s="13">
        <v>20</v>
      </c>
      <c r="AE168" s="13">
        <f>G168*0.765411311937324</f>
        <v>0</v>
      </c>
      <c r="AF168" s="13">
        <f>G168*(1-0.765411311937324)</f>
        <v>0</v>
      </c>
    </row>
    <row r="169" spans="1:32" ht="12.75">
      <c r="A169" s="5" t="s">
        <v>142</v>
      </c>
      <c r="B169" s="5" t="s">
        <v>153</v>
      </c>
      <c r="C169" s="5" t="s">
        <v>301</v>
      </c>
      <c r="D169" s="5" t="s">
        <v>471</v>
      </c>
      <c r="E169" s="5" t="s">
        <v>488</v>
      </c>
      <c r="F169" s="13">
        <v>0.005</v>
      </c>
      <c r="H169" s="13">
        <f t="shared" si="70"/>
        <v>0</v>
      </c>
      <c r="I169" s="13">
        <f t="shared" si="71"/>
        <v>0</v>
      </c>
      <c r="J169" s="13">
        <f t="shared" si="72"/>
        <v>0</v>
      </c>
      <c r="K169" s="13">
        <v>0</v>
      </c>
      <c r="L169" s="13">
        <f t="shared" si="73"/>
        <v>0</v>
      </c>
      <c r="N169" s="25" t="s">
        <v>11</v>
      </c>
      <c r="O169" s="13">
        <f t="shared" si="74"/>
        <v>0</v>
      </c>
      <c r="Z169" s="13">
        <f t="shared" si="75"/>
        <v>0</v>
      </c>
      <c r="AA169" s="13">
        <f t="shared" si="76"/>
        <v>0</v>
      </c>
      <c r="AB169" s="13">
        <f t="shared" si="77"/>
        <v>0</v>
      </c>
      <c r="AD169" s="13">
        <v>20</v>
      </c>
      <c r="AE169" s="13">
        <f>G169*0</f>
        <v>0</v>
      </c>
      <c r="AF169" s="13">
        <f>G169*(1-0)</f>
        <v>0</v>
      </c>
    </row>
    <row r="170" spans="1:32" ht="12.75">
      <c r="A170" s="5" t="s">
        <v>143</v>
      </c>
      <c r="B170" s="5" t="s">
        <v>153</v>
      </c>
      <c r="C170" s="5" t="s">
        <v>302</v>
      </c>
      <c r="D170" s="5" t="s">
        <v>472</v>
      </c>
      <c r="E170" s="5" t="s">
        <v>488</v>
      </c>
      <c r="F170" s="13">
        <v>0.005</v>
      </c>
      <c r="H170" s="13">
        <f t="shared" si="70"/>
        <v>0</v>
      </c>
      <c r="I170" s="13">
        <f t="shared" si="71"/>
        <v>0</v>
      </c>
      <c r="J170" s="13">
        <f t="shared" si="72"/>
        <v>0</v>
      </c>
      <c r="K170" s="13">
        <v>0</v>
      </c>
      <c r="L170" s="13">
        <f t="shared" si="73"/>
        <v>0</v>
      </c>
      <c r="N170" s="25" t="s">
        <v>11</v>
      </c>
      <c r="O170" s="13">
        <f t="shared" si="74"/>
        <v>0</v>
      </c>
      <c r="Z170" s="13">
        <f t="shared" si="75"/>
        <v>0</v>
      </c>
      <c r="AA170" s="13">
        <f t="shared" si="76"/>
        <v>0</v>
      </c>
      <c r="AB170" s="13">
        <f t="shared" si="77"/>
        <v>0</v>
      </c>
      <c r="AD170" s="13">
        <v>20</v>
      </c>
      <c r="AE170" s="13">
        <f>G170*0</f>
        <v>0</v>
      </c>
      <c r="AF170" s="13">
        <f>G170*(1-0)</f>
        <v>0</v>
      </c>
    </row>
    <row r="171" spans="1:37" ht="12.75">
      <c r="A171" s="4"/>
      <c r="B171" s="4"/>
      <c r="C171" s="11" t="s">
        <v>303</v>
      </c>
      <c r="D171" s="49" t="s">
        <v>473</v>
      </c>
      <c r="E171" s="50"/>
      <c r="F171" s="50"/>
      <c r="G171" s="50"/>
      <c r="H171" s="27">
        <f>SUM(H172:H178)</f>
        <v>0</v>
      </c>
      <c r="I171" s="27">
        <f>SUM(I172:I178)</f>
        <v>0</v>
      </c>
      <c r="J171" s="27">
        <f>H171+I171</f>
        <v>0</v>
      </c>
      <c r="K171" s="22"/>
      <c r="L171" s="27">
        <f>SUM(L172:L178)</f>
        <v>0.03641</v>
      </c>
      <c r="P171" s="27">
        <f>IF(Q171="PR",J171,SUM(O172:O178))</f>
        <v>0</v>
      </c>
      <c r="Q171" s="22" t="s">
        <v>515</v>
      </c>
      <c r="R171" s="27">
        <f>IF(Q171="HS",H171,0)</f>
        <v>0</v>
      </c>
      <c r="S171" s="27">
        <f>IF(Q171="HS",I171-P171,0)</f>
        <v>0</v>
      </c>
      <c r="T171" s="27">
        <f>IF(Q171="PS",H171,0)</f>
        <v>0</v>
      </c>
      <c r="U171" s="27">
        <f>IF(Q171="PS",I171-P171,0)</f>
        <v>0</v>
      </c>
      <c r="V171" s="27">
        <f>IF(Q171="MP",H171,0)</f>
        <v>0</v>
      </c>
      <c r="W171" s="27">
        <f>IF(Q171="MP",I171-P171,0)</f>
        <v>0</v>
      </c>
      <c r="X171" s="27">
        <f>IF(Q171="OM",H171,0)</f>
        <v>0</v>
      </c>
      <c r="Y171" s="22" t="s">
        <v>153</v>
      </c>
      <c r="AI171" s="27">
        <f>SUM(Z172:Z178)</f>
        <v>0</v>
      </c>
      <c r="AJ171" s="27">
        <f>SUM(AA172:AA178)</f>
        <v>0</v>
      </c>
      <c r="AK171" s="27">
        <f>SUM(AB172:AB178)</f>
        <v>0</v>
      </c>
    </row>
    <row r="172" spans="1:32" ht="12.75">
      <c r="A172" s="5" t="s">
        <v>144</v>
      </c>
      <c r="B172" s="5" t="s">
        <v>153</v>
      </c>
      <c r="C172" s="5" t="s">
        <v>304</v>
      </c>
      <c r="D172" s="5" t="s">
        <v>474</v>
      </c>
      <c r="E172" s="5" t="s">
        <v>490</v>
      </c>
      <c r="F172" s="13">
        <v>1</v>
      </c>
      <c r="H172" s="13">
        <f aca="true" t="shared" si="78" ref="H172:H178">ROUND(F172*AE172,2)</f>
        <v>0</v>
      </c>
      <c r="I172" s="13">
        <f aca="true" t="shared" si="79" ref="I172:I178">J172-H172</f>
        <v>0</v>
      </c>
      <c r="J172" s="13">
        <f aca="true" t="shared" si="80" ref="J172:J178">ROUND(F172*G172,2)</f>
        <v>0</v>
      </c>
      <c r="K172" s="13">
        <v>0</v>
      </c>
      <c r="L172" s="13">
        <f aca="true" t="shared" si="81" ref="L172:L178">F172*K172</f>
        <v>0</v>
      </c>
      <c r="N172" s="25" t="s">
        <v>511</v>
      </c>
      <c r="O172" s="13">
        <f aca="true" t="shared" si="82" ref="O172:O178">IF(N172="5",I172,0)</f>
        <v>0</v>
      </c>
      <c r="Z172" s="13">
        <f aca="true" t="shared" si="83" ref="Z172:Z178">IF(AD172=0,J172,0)</f>
        <v>0</v>
      </c>
      <c r="AA172" s="13">
        <f aca="true" t="shared" si="84" ref="AA172:AA178">IF(AD172=10,J172,0)</f>
        <v>0</v>
      </c>
      <c r="AB172" s="13">
        <f aca="true" t="shared" si="85" ref="AB172:AB178">IF(AD172=20,J172,0)</f>
        <v>0</v>
      </c>
      <c r="AD172" s="13">
        <v>20</v>
      </c>
      <c r="AE172" s="13">
        <f>G172*1</f>
        <v>0</v>
      </c>
      <c r="AF172" s="13">
        <f>G172*(1-1)</f>
        <v>0</v>
      </c>
    </row>
    <row r="173" spans="1:32" ht="12.75">
      <c r="A173" s="5" t="s">
        <v>145</v>
      </c>
      <c r="B173" s="5" t="s">
        <v>153</v>
      </c>
      <c r="C173" s="5" t="s">
        <v>305</v>
      </c>
      <c r="D173" s="5" t="s">
        <v>475</v>
      </c>
      <c r="E173" s="5" t="s">
        <v>493</v>
      </c>
      <c r="F173" s="13">
        <v>1</v>
      </c>
      <c r="H173" s="13">
        <f t="shared" si="78"/>
        <v>0</v>
      </c>
      <c r="I173" s="13">
        <f t="shared" si="79"/>
        <v>0</v>
      </c>
      <c r="J173" s="13">
        <f t="shared" si="80"/>
        <v>0</v>
      </c>
      <c r="K173" s="13">
        <v>0</v>
      </c>
      <c r="L173" s="13">
        <f t="shared" si="81"/>
        <v>0</v>
      </c>
      <c r="N173" s="25" t="s">
        <v>511</v>
      </c>
      <c r="O173" s="13">
        <f t="shared" si="82"/>
        <v>0</v>
      </c>
      <c r="Z173" s="13">
        <f t="shared" si="83"/>
        <v>0</v>
      </c>
      <c r="AA173" s="13">
        <f t="shared" si="84"/>
        <v>0</v>
      </c>
      <c r="AB173" s="13">
        <f t="shared" si="85"/>
        <v>0</v>
      </c>
      <c r="AD173" s="13">
        <v>20</v>
      </c>
      <c r="AE173" s="13">
        <f>G173*1</f>
        <v>0</v>
      </c>
      <c r="AF173" s="13">
        <f>G173*(1-1)</f>
        <v>0</v>
      </c>
    </row>
    <row r="174" spans="1:32" ht="12.75">
      <c r="A174" s="5" t="s">
        <v>146</v>
      </c>
      <c r="B174" s="5" t="s">
        <v>153</v>
      </c>
      <c r="C174" s="5" t="s">
        <v>306</v>
      </c>
      <c r="D174" s="5" t="s">
        <v>476</v>
      </c>
      <c r="E174" s="5" t="s">
        <v>491</v>
      </c>
      <c r="F174" s="13">
        <v>1</v>
      </c>
      <c r="H174" s="13">
        <f t="shared" si="78"/>
        <v>0</v>
      </c>
      <c r="I174" s="13">
        <f t="shared" si="79"/>
        <v>0</v>
      </c>
      <c r="J174" s="13">
        <f t="shared" si="80"/>
        <v>0</v>
      </c>
      <c r="K174" s="13">
        <v>0.01874</v>
      </c>
      <c r="L174" s="13">
        <f t="shared" si="81"/>
        <v>0.01874</v>
      </c>
      <c r="N174" s="25" t="s">
        <v>7</v>
      </c>
      <c r="O174" s="13">
        <f t="shared" si="82"/>
        <v>0</v>
      </c>
      <c r="Z174" s="13">
        <f t="shared" si="83"/>
        <v>0</v>
      </c>
      <c r="AA174" s="13">
        <f t="shared" si="84"/>
        <v>0</v>
      </c>
      <c r="AB174" s="13">
        <f t="shared" si="85"/>
        <v>0</v>
      </c>
      <c r="AD174" s="13">
        <v>20</v>
      </c>
      <c r="AE174" s="13">
        <f>G174*0</f>
        <v>0</v>
      </c>
      <c r="AF174" s="13">
        <f>G174*(1-0)</f>
        <v>0</v>
      </c>
    </row>
    <row r="175" spans="1:32" ht="12.75">
      <c r="A175" s="5" t="s">
        <v>147</v>
      </c>
      <c r="B175" s="5" t="s">
        <v>153</v>
      </c>
      <c r="C175" s="5" t="s">
        <v>307</v>
      </c>
      <c r="D175" s="5" t="s">
        <v>477</v>
      </c>
      <c r="E175" s="5" t="s">
        <v>491</v>
      </c>
      <c r="F175" s="13">
        <v>1</v>
      </c>
      <c r="H175" s="13">
        <f t="shared" si="78"/>
        <v>0</v>
      </c>
      <c r="I175" s="13">
        <f t="shared" si="79"/>
        <v>0</v>
      </c>
      <c r="J175" s="13">
        <f t="shared" si="80"/>
        <v>0</v>
      </c>
      <c r="K175" s="13">
        <v>0.01366</v>
      </c>
      <c r="L175" s="13">
        <f t="shared" si="81"/>
        <v>0.01366</v>
      </c>
      <c r="N175" s="25" t="s">
        <v>7</v>
      </c>
      <c r="O175" s="13">
        <f t="shared" si="82"/>
        <v>0</v>
      </c>
      <c r="Z175" s="13">
        <f t="shared" si="83"/>
        <v>0</v>
      </c>
      <c r="AA175" s="13">
        <f t="shared" si="84"/>
        <v>0</v>
      </c>
      <c r="AB175" s="13">
        <f t="shared" si="85"/>
        <v>0</v>
      </c>
      <c r="AD175" s="13">
        <v>20</v>
      </c>
      <c r="AE175" s="13">
        <f>G175*0.0977998990935426</f>
        <v>0</v>
      </c>
      <c r="AF175" s="13">
        <f>G175*(1-0.0977998990935426)</f>
        <v>0</v>
      </c>
    </row>
    <row r="176" spans="1:32" ht="12.75">
      <c r="A176" s="5" t="s">
        <v>148</v>
      </c>
      <c r="B176" s="5" t="s">
        <v>153</v>
      </c>
      <c r="C176" s="5" t="s">
        <v>308</v>
      </c>
      <c r="D176" s="5" t="s">
        <v>478</v>
      </c>
      <c r="E176" s="5" t="s">
        <v>491</v>
      </c>
      <c r="F176" s="13">
        <v>1</v>
      </c>
      <c r="H176" s="13">
        <f t="shared" si="78"/>
        <v>0</v>
      </c>
      <c r="I176" s="13">
        <f t="shared" si="79"/>
        <v>0</v>
      </c>
      <c r="J176" s="13">
        <f t="shared" si="80"/>
        <v>0</v>
      </c>
      <c r="K176" s="13">
        <v>0.00401</v>
      </c>
      <c r="L176" s="13">
        <f t="shared" si="81"/>
        <v>0.00401</v>
      </c>
      <c r="N176" s="25" t="s">
        <v>7</v>
      </c>
      <c r="O176" s="13">
        <f t="shared" si="82"/>
        <v>0</v>
      </c>
      <c r="Z176" s="13">
        <f t="shared" si="83"/>
        <v>0</v>
      </c>
      <c r="AA176" s="13">
        <f t="shared" si="84"/>
        <v>0</v>
      </c>
      <c r="AB176" s="13">
        <f t="shared" si="85"/>
        <v>0</v>
      </c>
      <c r="AD176" s="13">
        <v>20</v>
      </c>
      <c r="AE176" s="13">
        <f>G176*0.474346355518173</f>
        <v>0</v>
      </c>
      <c r="AF176" s="13">
        <f>G176*(1-0.474346355518173)</f>
        <v>0</v>
      </c>
    </row>
    <row r="177" spans="1:32" ht="12.75">
      <c r="A177" s="5" t="s">
        <v>149</v>
      </c>
      <c r="B177" s="5" t="s">
        <v>153</v>
      </c>
      <c r="C177" s="5" t="s">
        <v>309</v>
      </c>
      <c r="D177" s="5" t="s">
        <v>479</v>
      </c>
      <c r="E177" s="5" t="s">
        <v>488</v>
      </c>
      <c r="F177" s="13">
        <v>0.019</v>
      </c>
      <c r="H177" s="13">
        <f t="shared" si="78"/>
        <v>0</v>
      </c>
      <c r="I177" s="13">
        <f t="shared" si="79"/>
        <v>0</v>
      </c>
      <c r="J177" s="13">
        <f t="shared" si="80"/>
        <v>0</v>
      </c>
      <c r="K177" s="13">
        <v>0</v>
      </c>
      <c r="L177" s="13">
        <f t="shared" si="81"/>
        <v>0</v>
      </c>
      <c r="N177" s="25" t="s">
        <v>7</v>
      </c>
      <c r="O177" s="13">
        <f t="shared" si="82"/>
        <v>0</v>
      </c>
      <c r="Z177" s="13">
        <f t="shared" si="83"/>
        <v>0</v>
      </c>
      <c r="AA177" s="13">
        <f t="shared" si="84"/>
        <v>0</v>
      </c>
      <c r="AB177" s="13">
        <f t="shared" si="85"/>
        <v>0</v>
      </c>
      <c r="AD177" s="13">
        <v>20</v>
      </c>
      <c r="AE177" s="13">
        <f>G177*0</f>
        <v>0</v>
      </c>
      <c r="AF177" s="13">
        <f>G177*(1-0)</f>
        <v>0</v>
      </c>
    </row>
    <row r="178" spans="1:32" ht="12.75">
      <c r="A178" s="6" t="s">
        <v>150</v>
      </c>
      <c r="B178" s="6" t="s">
        <v>153</v>
      </c>
      <c r="C178" s="6" t="s">
        <v>310</v>
      </c>
      <c r="D178" s="6" t="s">
        <v>480</v>
      </c>
      <c r="E178" s="6" t="s">
        <v>488</v>
      </c>
      <c r="F178" s="14">
        <v>0.036</v>
      </c>
      <c r="G178" s="17"/>
      <c r="H178" s="14">
        <f t="shared" si="78"/>
        <v>0</v>
      </c>
      <c r="I178" s="14">
        <f t="shared" si="79"/>
        <v>0</v>
      </c>
      <c r="J178" s="14">
        <f t="shared" si="80"/>
        <v>0</v>
      </c>
      <c r="K178" s="14">
        <v>0</v>
      </c>
      <c r="L178" s="14">
        <f t="shared" si="81"/>
        <v>0</v>
      </c>
      <c r="N178" s="25" t="s">
        <v>11</v>
      </c>
      <c r="O178" s="13">
        <f t="shared" si="82"/>
        <v>0</v>
      </c>
      <c r="Z178" s="13">
        <f t="shared" si="83"/>
        <v>0</v>
      </c>
      <c r="AA178" s="13">
        <f t="shared" si="84"/>
        <v>0</v>
      </c>
      <c r="AB178" s="13">
        <f t="shared" si="85"/>
        <v>0</v>
      </c>
      <c r="AD178" s="13">
        <v>20</v>
      </c>
      <c r="AE178" s="13">
        <f>G178*0</f>
        <v>0</v>
      </c>
      <c r="AF178" s="13">
        <f>G178*(1-0)</f>
        <v>0</v>
      </c>
    </row>
    <row r="179" spans="1:28" ht="12.75">
      <c r="A179" s="7"/>
      <c r="B179" s="7"/>
      <c r="C179" s="7"/>
      <c r="D179" s="7"/>
      <c r="E179" s="7"/>
      <c r="F179" s="7"/>
      <c r="G179" s="7"/>
      <c r="H179" s="51" t="s">
        <v>501</v>
      </c>
      <c r="I179" s="52"/>
      <c r="J179" s="28">
        <f>J13+J15+J17+J20+J22+J24+J26+J31+J35+J42+J67+J79+J103+J120+J130+J132+J134+J136+J148+J163+J171</f>
        <v>0</v>
      </c>
      <c r="K179" s="7"/>
      <c r="L179" s="7"/>
      <c r="Z179" s="29">
        <f>SUM(Z13:Z178)</f>
        <v>0</v>
      </c>
      <c r="AA179" s="29">
        <f>SUM(AA13:AA178)</f>
        <v>0</v>
      </c>
      <c r="AB179" s="29">
        <f>SUM(AB13:AB178)</f>
        <v>0</v>
      </c>
    </row>
  </sheetData>
  <sheetProtection/>
  <mergeCells count="51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H10:J10"/>
    <mergeCell ref="K10:L10"/>
    <mergeCell ref="D12:G12"/>
    <mergeCell ref="D13:G13"/>
    <mergeCell ref="I8:I9"/>
    <mergeCell ref="J2:L3"/>
    <mergeCell ref="J4:L5"/>
    <mergeCell ref="J6:L7"/>
    <mergeCell ref="J8:L9"/>
    <mergeCell ref="E8:F9"/>
    <mergeCell ref="D24:G24"/>
    <mergeCell ref="D26:G26"/>
    <mergeCell ref="D31:G31"/>
    <mergeCell ref="D35:G35"/>
    <mergeCell ref="D15:G15"/>
    <mergeCell ref="D17:G17"/>
    <mergeCell ref="D20:G20"/>
    <mergeCell ref="D22:G22"/>
    <mergeCell ref="D120:G120"/>
    <mergeCell ref="D130:G130"/>
    <mergeCell ref="D132:G132"/>
    <mergeCell ref="D134:G134"/>
    <mergeCell ref="D42:G42"/>
    <mergeCell ref="D67:G67"/>
    <mergeCell ref="D79:G79"/>
    <mergeCell ref="D103:G103"/>
    <mergeCell ref="D171:G171"/>
    <mergeCell ref="H179:I179"/>
    <mergeCell ref="D136:G136"/>
    <mergeCell ref="D148:G148"/>
    <mergeCell ref="D162:G162"/>
    <mergeCell ref="D163:G163"/>
  </mergeCells>
  <printOptions/>
  <pageMargins left="0.787401575" right="0.787401575" top="0.984251969" bottom="0.984251969" header="0.4921259845" footer="0.4921259845"/>
  <pageSetup fitToHeight="6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E8" sqref="E8:G9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71" t="s">
        <v>524</v>
      </c>
      <c r="B1" s="72"/>
      <c r="C1" s="72"/>
      <c r="D1" s="72"/>
      <c r="E1" s="72"/>
      <c r="F1" s="72"/>
      <c r="G1" s="17"/>
    </row>
    <row r="2" spans="1:8" ht="12.75">
      <c r="A2" s="73" t="s">
        <v>1</v>
      </c>
      <c r="B2" s="51" t="str">
        <f>'Krycí list rozpočtu'!$C$2</f>
        <v>Zateplení a výměna topného zdroje obecního úřadu Třebívlice</v>
      </c>
      <c r="C2" s="52"/>
      <c r="D2" s="60" t="s">
        <v>502</v>
      </c>
      <c r="E2" s="60" t="s">
        <v>507</v>
      </c>
      <c r="F2" s="61"/>
      <c r="G2" s="62"/>
      <c r="H2" s="23"/>
    </row>
    <row r="3" spans="1:8" ht="12.75">
      <c r="A3" s="74"/>
      <c r="B3" s="75"/>
      <c r="C3" s="75"/>
      <c r="D3" s="63"/>
      <c r="E3" s="63"/>
      <c r="F3" s="63"/>
      <c r="G3" s="64"/>
      <c r="H3" s="23"/>
    </row>
    <row r="4" spans="1:8" ht="12.75">
      <c r="A4" s="67" t="s">
        <v>2</v>
      </c>
      <c r="B4" s="58" t="s">
        <v>311</v>
      </c>
      <c r="C4" s="63"/>
      <c r="D4" s="58" t="s">
        <v>503</v>
      </c>
      <c r="E4" s="58" t="s">
        <v>508</v>
      </c>
      <c r="F4" s="63"/>
      <c r="G4" s="64"/>
      <c r="H4" s="23"/>
    </row>
    <row r="5" spans="1:8" ht="12.75">
      <c r="A5" s="74"/>
      <c r="B5" s="63"/>
      <c r="C5" s="63"/>
      <c r="D5" s="63"/>
      <c r="E5" s="63"/>
      <c r="F5" s="63"/>
      <c r="G5" s="64"/>
      <c r="H5" s="23"/>
    </row>
    <row r="6" spans="1:8" ht="12.75">
      <c r="A6" s="67" t="s">
        <v>3</v>
      </c>
      <c r="B6" s="58" t="s">
        <v>312</v>
      </c>
      <c r="C6" s="63"/>
      <c r="D6" s="58" t="s">
        <v>504</v>
      </c>
      <c r="E6" s="58"/>
      <c r="F6" s="63"/>
      <c r="G6" s="64"/>
      <c r="H6" s="23"/>
    </row>
    <row r="7" spans="1:8" ht="12.75">
      <c r="A7" s="74"/>
      <c r="B7" s="63"/>
      <c r="C7" s="63"/>
      <c r="D7" s="63"/>
      <c r="E7" s="63"/>
      <c r="F7" s="63"/>
      <c r="G7" s="64"/>
      <c r="H7" s="23"/>
    </row>
    <row r="8" spans="1:8" ht="12.75">
      <c r="A8" s="67" t="s">
        <v>505</v>
      </c>
      <c r="B8" s="58" t="s">
        <v>508</v>
      </c>
      <c r="C8" s="63"/>
      <c r="D8" s="58" t="s">
        <v>484</v>
      </c>
      <c r="E8" s="66"/>
      <c r="F8" s="63"/>
      <c r="G8" s="64"/>
      <c r="H8" s="23"/>
    </row>
    <row r="9" spans="1:8" ht="12.75">
      <c r="A9" s="68"/>
      <c r="B9" s="59"/>
      <c r="C9" s="59"/>
      <c r="D9" s="59"/>
      <c r="E9" s="59"/>
      <c r="F9" s="59"/>
      <c r="G9" s="65"/>
      <c r="H9" s="23"/>
    </row>
    <row r="10" spans="1:8" ht="12.75">
      <c r="A10" s="30" t="s">
        <v>151</v>
      </c>
      <c r="B10" s="32" t="s">
        <v>154</v>
      </c>
      <c r="C10" s="33" t="s">
        <v>314</v>
      </c>
      <c r="D10" s="34" t="s">
        <v>525</v>
      </c>
      <c r="E10" s="34" t="s">
        <v>526</v>
      </c>
      <c r="F10" s="34" t="s">
        <v>527</v>
      </c>
      <c r="G10" s="37" t="s">
        <v>528</v>
      </c>
      <c r="H10" s="24"/>
    </row>
    <row r="11" spans="1:9" ht="12.75">
      <c r="A11" s="31" t="s">
        <v>152</v>
      </c>
      <c r="B11" s="31"/>
      <c r="C11" s="31" t="s">
        <v>315</v>
      </c>
      <c r="D11" s="35"/>
      <c r="E11" s="35"/>
      <c r="F11" s="38">
        <f aca="true" t="shared" si="0" ref="F11:F33">D11+E11</f>
        <v>0</v>
      </c>
      <c r="G11" s="38">
        <v>9.95215</v>
      </c>
      <c r="H11" s="13" t="s">
        <v>529</v>
      </c>
      <c r="I11" s="13">
        <f aca="true" t="shared" si="1" ref="I11:I33">IF(H11="T",0,F11)</f>
        <v>0</v>
      </c>
    </row>
    <row r="12" spans="1:9" ht="12.75">
      <c r="A12" s="5" t="s">
        <v>152</v>
      </c>
      <c r="B12" s="5" t="s">
        <v>18</v>
      </c>
      <c r="C12" s="5" t="s">
        <v>316</v>
      </c>
      <c r="F12" s="13">
        <f t="shared" si="0"/>
        <v>0</v>
      </c>
      <c r="G12" s="13">
        <v>0</v>
      </c>
      <c r="H12" s="13" t="s">
        <v>530</v>
      </c>
      <c r="I12" s="13">
        <f t="shared" si="1"/>
        <v>0</v>
      </c>
    </row>
    <row r="13" spans="1:9" ht="12.75">
      <c r="A13" s="5" t="s">
        <v>152</v>
      </c>
      <c r="B13" s="5" t="s">
        <v>19</v>
      </c>
      <c r="C13" s="5" t="s">
        <v>318</v>
      </c>
      <c r="F13" s="13">
        <f t="shared" si="0"/>
        <v>0</v>
      </c>
      <c r="G13" s="13">
        <v>0</v>
      </c>
      <c r="H13" s="13" t="s">
        <v>530</v>
      </c>
      <c r="I13" s="13">
        <f t="shared" si="1"/>
        <v>0</v>
      </c>
    </row>
    <row r="14" spans="1:9" ht="12.75">
      <c r="A14" s="5" t="s">
        <v>152</v>
      </c>
      <c r="B14" s="5" t="s">
        <v>22</v>
      </c>
      <c r="C14" s="5" t="s">
        <v>320</v>
      </c>
      <c r="F14" s="13">
        <f t="shared" si="0"/>
        <v>0</v>
      </c>
      <c r="G14" s="13">
        <v>0</v>
      </c>
      <c r="H14" s="13" t="s">
        <v>530</v>
      </c>
      <c r="I14" s="13">
        <f t="shared" si="1"/>
        <v>0</v>
      </c>
    </row>
    <row r="15" spans="1:9" ht="12.75">
      <c r="A15" s="5" t="s">
        <v>152</v>
      </c>
      <c r="B15" s="5" t="s">
        <v>23</v>
      </c>
      <c r="C15" s="5" t="s">
        <v>323</v>
      </c>
      <c r="F15" s="13">
        <f t="shared" si="0"/>
        <v>0</v>
      </c>
      <c r="G15" s="13">
        <v>0</v>
      </c>
      <c r="H15" s="13" t="s">
        <v>530</v>
      </c>
      <c r="I15" s="13">
        <f t="shared" si="1"/>
        <v>0</v>
      </c>
    </row>
    <row r="16" spans="1:9" ht="12.75">
      <c r="A16" s="5" t="s">
        <v>152</v>
      </c>
      <c r="B16" s="5" t="s">
        <v>62</v>
      </c>
      <c r="C16" s="5" t="s">
        <v>325</v>
      </c>
      <c r="F16" s="13">
        <f t="shared" si="0"/>
        <v>0</v>
      </c>
      <c r="G16" s="13">
        <v>0.06739</v>
      </c>
      <c r="H16" s="13" t="s">
        <v>530</v>
      </c>
      <c r="I16" s="13">
        <f t="shared" si="1"/>
        <v>0</v>
      </c>
    </row>
    <row r="17" spans="1:9" ht="12.75">
      <c r="A17" s="5" t="s">
        <v>152</v>
      </c>
      <c r="B17" s="5" t="s">
        <v>64</v>
      </c>
      <c r="C17" s="5" t="s">
        <v>327</v>
      </c>
      <c r="F17" s="13">
        <f t="shared" si="0"/>
        <v>0</v>
      </c>
      <c r="G17" s="13">
        <v>0.09017</v>
      </c>
      <c r="H17" s="13" t="s">
        <v>530</v>
      </c>
      <c r="I17" s="13">
        <f t="shared" si="1"/>
        <v>0</v>
      </c>
    </row>
    <row r="18" spans="1:9" ht="12.75">
      <c r="A18" s="5" t="s">
        <v>152</v>
      </c>
      <c r="B18" s="5" t="s">
        <v>67</v>
      </c>
      <c r="C18" s="5" t="s">
        <v>329</v>
      </c>
      <c r="F18" s="13">
        <f t="shared" si="0"/>
        <v>0</v>
      </c>
      <c r="G18" s="13">
        <v>3.67442</v>
      </c>
      <c r="H18" s="13" t="s">
        <v>530</v>
      </c>
      <c r="I18" s="13">
        <f t="shared" si="1"/>
        <v>0</v>
      </c>
    </row>
    <row r="19" spans="1:9" ht="12.75">
      <c r="A19" s="5" t="s">
        <v>152</v>
      </c>
      <c r="B19" s="5" t="s">
        <v>166</v>
      </c>
      <c r="C19" s="5" t="s">
        <v>334</v>
      </c>
      <c r="F19" s="13">
        <f t="shared" si="0"/>
        <v>0</v>
      </c>
      <c r="G19" s="13">
        <v>0.0001</v>
      </c>
      <c r="H19" s="13" t="s">
        <v>530</v>
      </c>
      <c r="I19" s="13">
        <f t="shared" si="1"/>
        <v>0</v>
      </c>
    </row>
    <row r="20" spans="1:9" ht="12.75">
      <c r="A20" s="5" t="s">
        <v>152</v>
      </c>
      <c r="B20" s="5" t="s">
        <v>170</v>
      </c>
      <c r="C20" s="5" t="s">
        <v>338</v>
      </c>
      <c r="F20" s="13">
        <f t="shared" si="0"/>
        <v>0</v>
      </c>
      <c r="G20" s="13">
        <v>0.08708</v>
      </c>
      <c r="H20" s="13" t="s">
        <v>530</v>
      </c>
      <c r="I20" s="13">
        <f t="shared" si="1"/>
        <v>0</v>
      </c>
    </row>
    <row r="21" spans="1:9" ht="12.75">
      <c r="A21" s="5" t="s">
        <v>152</v>
      </c>
      <c r="B21" s="5" t="s">
        <v>177</v>
      </c>
      <c r="C21" s="5" t="s">
        <v>345</v>
      </c>
      <c r="F21" s="13">
        <f t="shared" si="0"/>
        <v>0</v>
      </c>
      <c r="G21" s="13">
        <v>0.46961</v>
      </c>
      <c r="H21" s="13" t="s">
        <v>530</v>
      </c>
      <c r="I21" s="13">
        <f t="shared" si="1"/>
        <v>0</v>
      </c>
    </row>
    <row r="22" spans="1:9" ht="12.75">
      <c r="A22" s="5" t="s">
        <v>152</v>
      </c>
      <c r="B22" s="5" t="s">
        <v>202</v>
      </c>
      <c r="C22" s="5" t="s">
        <v>370</v>
      </c>
      <c r="F22" s="13">
        <f t="shared" si="0"/>
        <v>0</v>
      </c>
      <c r="G22" s="13">
        <v>2.06015</v>
      </c>
      <c r="H22" s="13" t="s">
        <v>530</v>
      </c>
      <c r="I22" s="13">
        <f t="shared" si="1"/>
        <v>0</v>
      </c>
    </row>
    <row r="23" spans="1:9" ht="12.75">
      <c r="A23" s="5" t="s">
        <v>152</v>
      </c>
      <c r="B23" s="5" t="s">
        <v>214</v>
      </c>
      <c r="C23" s="5" t="s">
        <v>382</v>
      </c>
      <c r="F23" s="13">
        <f t="shared" si="0"/>
        <v>0</v>
      </c>
      <c r="G23" s="13">
        <v>1.14895</v>
      </c>
      <c r="H23" s="13" t="s">
        <v>530</v>
      </c>
      <c r="I23" s="13">
        <f t="shared" si="1"/>
        <v>0</v>
      </c>
    </row>
    <row r="24" spans="1:9" ht="12.75">
      <c r="A24" s="5" t="s">
        <v>152</v>
      </c>
      <c r="B24" s="5" t="s">
        <v>238</v>
      </c>
      <c r="C24" s="5" t="s">
        <v>406</v>
      </c>
      <c r="F24" s="13">
        <f t="shared" si="0"/>
        <v>0</v>
      </c>
      <c r="G24" s="13">
        <v>0.95712</v>
      </c>
      <c r="H24" s="13" t="s">
        <v>530</v>
      </c>
      <c r="I24" s="13">
        <f t="shared" si="1"/>
        <v>0</v>
      </c>
    </row>
    <row r="25" spans="1:9" ht="12.75">
      <c r="A25" s="5" t="s">
        <v>152</v>
      </c>
      <c r="B25" s="5" t="s">
        <v>255</v>
      </c>
      <c r="C25" s="5" t="s">
        <v>423</v>
      </c>
      <c r="F25" s="13">
        <f t="shared" si="0"/>
        <v>0</v>
      </c>
      <c r="G25" s="13">
        <v>0.43005</v>
      </c>
      <c r="H25" s="13" t="s">
        <v>530</v>
      </c>
      <c r="I25" s="13">
        <f t="shared" si="1"/>
        <v>0</v>
      </c>
    </row>
    <row r="26" spans="1:9" ht="12.75">
      <c r="A26" s="5" t="s">
        <v>152</v>
      </c>
      <c r="B26" s="5" t="s">
        <v>265</v>
      </c>
      <c r="C26" s="5" t="s">
        <v>433</v>
      </c>
      <c r="F26" s="13">
        <f t="shared" si="0"/>
        <v>0</v>
      </c>
      <c r="G26" s="13">
        <v>0.00441</v>
      </c>
      <c r="H26" s="13" t="s">
        <v>530</v>
      </c>
      <c r="I26" s="13">
        <f t="shared" si="1"/>
        <v>0</v>
      </c>
    </row>
    <row r="27" spans="1:9" ht="12.75">
      <c r="A27" s="5" t="s">
        <v>152</v>
      </c>
      <c r="B27" s="5" t="s">
        <v>267</v>
      </c>
      <c r="C27" s="5" t="s">
        <v>435</v>
      </c>
      <c r="F27" s="13">
        <f t="shared" si="0"/>
        <v>0</v>
      </c>
      <c r="G27" s="13">
        <v>0.0002</v>
      </c>
      <c r="H27" s="13" t="s">
        <v>530</v>
      </c>
      <c r="I27" s="13">
        <f t="shared" si="1"/>
        <v>0</v>
      </c>
    </row>
    <row r="28" spans="1:9" ht="12.75">
      <c r="A28" s="5" t="s">
        <v>152</v>
      </c>
      <c r="B28" s="5" t="s">
        <v>96</v>
      </c>
      <c r="C28" s="5" t="s">
        <v>437</v>
      </c>
      <c r="F28" s="13">
        <f t="shared" si="0"/>
        <v>0</v>
      </c>
      <c r="G28" s="13">
        <v>0</v>
      </c>
      <c r="H28" s="13" t="s">
        <v>530</v>
      </c>
      <c r="I28" s="13">
        <f t="shared" si="1"/>
        <v>0</v>
      </c>
    </row>
    <row r="29" spans="1:9" ht="12.75">
      <c r="A29" s="5" t="s">
        <v>152</v>
      </c>
      <c r="B29" s="5" t="s">
        <v>101</v>
      </c>
      <c r="C29" s="5" t="s">
        <v>439</v>
      </c>
      <c r="F29" s="13">
        <f t="shared" si="0"/>
        <v>0</v>
      </c>
      <c r="G29" s="13">
        <v>0.9515</v>
      </c>
      <c r="H29" s="13" t="s">
        <v>530</v>
      </c>
      <c r="I29" s="13">
        <f t="shared" si="1"/>
        <v>0</v>
      </c>
    </row>
    <row r="30" spans="1:9" ht="12.75">
      <c r="A30" s="5" t="s">
        <v>152</v>
      </c>
      <c r="B30" s="5" t="s">
        <v>281</v>
      </c>
      <c r="C30" s="5" t="s">
        <v>451</v>
      </c>
      <c r="F30" s="13">
        <f t="shared" si="0"/>
        <v>0</v>
      </c>
      <c r="G30" s="13">
        <v>0.011</v>
      </c>
      <c r="H30" s="13" t="s">
        <v>530</v>
      </c>
      <c r="I30" s="13">
        <f t="shared" si="1"/>
        <v>0</v>
      </c>
    </row>
    <row r="31" spans="1:9" ht="12.75">
      <c r="A31" s="5" t="s">
        <v>153</v>
      </c>
      <c r="B31" s="5"/>
      <c r="C31" s="5" t="s">
        <v>464</v>
      </c>
      <c r="F31" s="13">
        <f t="shared" si="0"/>
        <v>0</v>
      </c>
      <c r="G31" s="13">
        <v>0.04144</v>
      </c>
      <c r="H31" s="13" t="s">
        <v>529</v>
      </c>
      <c r="I31" s="13">
        <f t="shared" si="1"/>
        <v>0</v>
      </c>
    </row>
    <row r="32" spans="1:9" ht="12.75">
      <c r="A32" s="5" t="s">
        <v>153</v>
      </c>
      <c r="B32" s="5" t="s">
        <v>295</v>
      </c>
      <c r="C32" s="5" t="s">
        <v>465</v>
      </c>
      <c r="F32" s="13">
        <f t="shared" si="0"/>
        <v>0</v>
      </c>
      <c r="G32" s="13">
        <v>0.00503</v>
      </c>
      <c r="H32" s="13" t="s">
        <v>530</v>
      </c>
      <c r="I32" s="13">
        <f t="shared" si="1"/>
        <v>0</v>
      </c>
    </row>
    <row r="33" spans="1:9" ht="12.75">
      <c r="A33" s="5" t="s">
        <v>153</v>
      </c>
      <c r="B33" s="5" t="s">
        <v>303</v>
      </c>
      <c r="C33" s="5" t="s">
        <v>473</v>
      </c>
      <c r="F33" s="13">
        <f t="shared" si="0"/>
        <v>0</v>
      </c>
      <c r="G33" s="13">
        <v>0.03641</v>
      </c>
      <c r="H33" s="13" t="s">
        <v>530</v>
      </c>
      <c r="I33" s="13">
        <f t="shared" si="1"/>
        <v>0</v>
      </c>
    </row>
    <row r="35" spans="5:6" ht="12.75">
      <c r="E35" s="36" t="s">
        <v>501</v>
      </c>
      <c r="F35" s="29">
        <f>SUM(I11:I33)</f>
        <v>0</v>
      </c>
    </row>
  </sheetData>
  <sheetProtection/>
  <mergeCells count="17">
    <mergeCell ref="A1:F1"/>
    <mergeCell ref="A2:A3"/>
    <mergeCell ref="A4:A5"/>
    <mergeCell ref="A6:A7"/>
    <mergeCell ref="D2:D3"/>
    <mergeCell ref="D4:D5"/>
    <mergeCell ref="D6:D7"/>
    <mergeCell ref="D8:D9"/>
    <mergeCell ref="E2:G3"/>
    <mergeCell ref="E4:G5"/>
    <mergeCell ref="E6:G7"/>
    <mergeCell ref="E8:G9"/>
    <mergeCell ref="A8:A9"/>
    <mergeCell ref="B2:C3"/>
    <mergeCell ref="B4:C5"/>
    <mergeCell ref="B6:C7"/>
    <mergeCell ref="B8:C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2.8515625" style="0" customWidth="1"/>
    <col min="9" max="9" width="22.421875" style="0" customWidth="1"/>
  </cols>
  <sheetData>
    <row r="1" spans="1:9" ht="28.5" customHeight="1">
      <c r="A1" s="99" t="s">
        <v>575</v>
      </c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73" t="s">
        <v>1</v>
      </c>
      <c r="B2" s="61"/>
      <c r="C2" s="69" t="s">
        <v>569</v>
      </c>
      <c r="D2" s="103"/>
      <c r="E2" s="60" t="s">
        <v>502</v>
      </c>
      <c r="F2" s="60" t="s">
        <v>507</v>
      </c>
      <c r="G2" s="61"/>
      <c r="H2" s="60" t="s">
        <v>564</v>
      </c>
      <c r="I2" s="101" t="s">
        <v>570</v>
      </c>
      <c r="J2" s="23"/>
    </row>
    <row r="3" spans="1:10" ht="12.75">
      <c r="A3" s="74"/>
      <c r="B3" s="63"/>
      <c r="C3" s="104"/>
      <c r="D3" s="104"/>
      <c r="E3" s="63"/>
      <c r="F3" s="63"/>
      <c r="G3" s="63"/>
      <c r="H3" s="63"/>
      <c r="I3" s="64"/>
      <c r="J3" s="23"/>
    </row>
    <row r="4" spans="1:10" ht="12.75">
      <c r="A4" s="67" t="s">
        <v>2</v>
      </c>
      <c r="B4" s="63"/>
      <c r="C4" s="58" t="s">
        <v>311</v>
      </c>
      <c r="D4" s="63"/>
      <c r="E4" s="58" t="s">
        <v>503</v>
      </c>
      <c r="F4" s="58" t="s">
        <v>508</v>
      </c>
      <c r="G4" s="63"/>
      <c r="H4" s="58" t="s">
        <v>564</v>
      </c>
      <c r="I4" s="102" t="s">
        <v>568</v>
      </c>
      <c r="J4" s="23"/>
    </row>
    <row r="5" spans="1:10" ht="12.75">
      <c r="A5" s="74"/>
      <c r="B5" s="63"/>
      <c r="C5" s="63"/>
      <c r="D5" s="63"/>
      <c r="E5" s="63"/>
      <c r="F5" s="63"/>
      <c r="G5" s="63"/>
      <c r="H5" s="63"/>
      <c r="I5" s="64"/>
      <c r="J5" s="23"/>
    </row>
    <row r="6" spans="1:10" ht="12.75">
      <c r="A6" s="67" t="s">
        <v>3</v>
      </c>
      <c r="B6" s="63"/>
      <c r="C6" s="58" t="s">
        <v>312</v>
      </c>
      <c r="D6" s="63"/>
      <c r="E6" s="58" t="s">
        <v>504</v>
      </c>
      <c r="F6" s="58"/>
      <c r="G6" s="63"/>
      <c r="H6" s="58" t="s">
        <v>564</v>
      </c>
      <c r="I6" s="102"/>
      <c r="J6" s="23"/>
    </row>
    <row r="7" spans="1:10" ht="12.75">
      <c r="A7" s="74"/>
      <c r="B7" s="63"/>
      <c r="C7" s="63"/>
      <c r="D7" s="63"/>
      <c r="E7" s="63"/>
      <c r="F7" s="63"/>
      <c r="G7" s="63"/>
      <c r="H7" s="63"/>
      <c r="I7" s="64"/>
      <c r="J7" s="23"/>
    </row>
    <row r="8" spans="1:10" ht="12.75">
      <c r="A8" s="67" t="s">
        <v>482</v>
      </c>
      <c r="B8" s="63"/>
      <c r="C8" s="66"/>
      <c r="D8" s="63"/>
      <c r="E8" s="58" t="s">
        <v>483</v>
      </c>
      <c r="F8" s="63"/>
      <c r="G8" s="63"/>
      <c r="H8" s="58" t="s">
        <v>565</v>
      </c>
      <c r="I8" s="102" t="s">
        <v>150</v>
      </c>
      <c r="J8" s="23"/>
    </row>
    <row r="9" spans="1:10" ht="12.75">
      <c r="A9" s="74"/>
      <c r="B9" s="63"/>
      <c r="C9" s="63"/>
      <c r="D9" s="63"/>
      <c r="E9" s="63"/>
      <c r="F9" s="63"/>
      <c r="G9" s="63"/>
      <c r="H9" s="63"/>
      <c r="I9" s="64"/>
      <c r="J9" s="23"/>
    </row>
    <row r="10" spans="1:10" ht="12.75">
      <c r="A10" s="67" t="s">
        <v>4</v>
      </c>
      <c r="B10" s="63"/>
      <c r="C10" s="58" t="s">
        <v>313</v>
      </c>
      <c r="D10" s="63"/>
      <c r="E10" s="58" t="s">
        <v>505</v>
      </c>
      <c r="F10" s="58" t="s">
        <v>508</v>
      </c>
      <c r="G10" s="63"/>
      <c r="H10" s="58" t="s">
        <v>566</v>
      </c>
      <c r="I10" s="97"/>
      <c r="J10" s="23"/>
    </row>
    <row r="11" spans="1:10" ht="12.75">
      <c r="A11" s="96"/>
      <c r="B11" s="95"/>
      <c r="C11" s="95"/>
      <c r="D11" s="95"/>
      <c r="E11" s="95"/>
      <c r="F11" s="95"/>
      <c r="G11" s="95"/>
      <c r="H11" s="95"/>
      <c r="I11" s="98"/>
      <c r="J11" s="23"/>
    </row>
    <row r="12" spans="1:9" ht="23.25" customHeight="1">
      <c r="A12" s="91" t="s">
        <v>531</v>
      </c>
      <c r="B12" s="92"/>
      <c r="C12" s="92"/>
      <c r="D12" s="92"/>
      <c r="E12" s="92"/>
      <c r="F12" s="92"/>
      <c r="G12" s="92"/>
      <c r="H12" s="92"/>
      <c r="I12" s="92"/>
    </row>
    <row r="13" spans="1:10" ht="26.25" customHeight="1">
      <c r="A13" s="39" t="s">
        <v>532</v>
      </c>
      <c r="B13" s="93" t="s">
        <v>542</v>
      </c>
      <c r="C13" s="94"/>
      <c r="D13" s="39" t="s">
        <v>544</v>
      </c>
      <c r="E13" s="93" t="s">
        <v>554</v>
      </c>
      <c r="F13" s="94"/>
      <c r="G13" s="39" t="s">
        <v>555</v>
      </c>
      <c r="H13" s="93" t="s">
        <v>567</v>
      </c>
      <c r="I13" s="94"/>
      <c r="J13" s="23"/>
    </row>
    <row r="14" spans="1:10" ht="15" customHeight="1">
      <c r="A14" s="40" t="s">
        <v>533</v>
      </c>
      <c r="B14" s="44" t="s">
        <v>543</v>
      </c>
      <c r="C14" s="45"/>
      <c r="D14" s="89" t="s">
        <v>545</v>
      </c>
      <c r="E14" s="90"/>
      <c r="F14" s="45"/>
      <c r="G14" s="89" t="s">
        <v>556</v>
      </c>
      <c r="H14" s="90"/>
      <c r="I14" s="45"/>
      <c r="J14" s="23"/>
    </row>
    <row r="15" spans="1:10" ht="15" customHeight="1">
      <c r="A15" s="41"/>
      <c r="B15" s="44" t="s">
        <v>506</v>
      </c>
      <c r="C15" s="45"/>
      <c r="D15" s="89" t="s">
        <v>546</v>
      </c>
      <c r="E15" s="90"/>
      <c r="F15" s="45"/>
      <c r="G15" s="89" t="s">
        <v>548</v>
      </c>
      <c r="H15" s="90"/>
      <c r="I15" s="45"/>
      <c r="J15" s="23"/>
    </row>
    <row r="16" spans="1:10" ht="15" customHeight="1">
      <c r="A16" s="40" t="s">
        <v>534</v>
      </c>
      <c r="B16" s="44" t="s">
        <v>543</v>
      </c>
      <c r="C16" s="45"/>
      <c r="D16" s="89" t="s">
        <v>547</v>
      </c>
      <c r="E16" s="90"/>
      <c r="F16" s="45"/>
      <c r="G16" s="89" t="s">
        <v>550</v>
      </c>
      <c r="H16" s="90"/>
      <c r="I16" s="45"/>
      <c r="J16" s="23"/>
    </row>
    <row r="17" spans="1:10" ht="15" customHeight="1">
      <c r="A17" s="41"/>
      <c r="B17" s="44" t="s">
        <v>506</v>
      </c>
      <c r="C17" s="45"/>
      <c r="D17" s="89" t="s">
        <v>548</v>
      </c>
      <c r="E17" s="90"/>
      <c r="F17" s="45"/>
      <c r="G17" s="89" t="s">
        <v>557</v>
      </c>
      <c r="H17" s="90"/>
      <c r="I17" s="45"/>
      <c r="J17" s="23"/>
    </row>
    <row r="18" spans="1:10" ht="15" customHeight="1">
      <c r="A18" s="40" t="s">
        <v>535</v>
      </c>
      <c r="B18" s="44" t="s">
        <v>543</v>
      </c>
      <c r="C18" s="45"/>
      <c r="D18" s="89" t="s">
        <v>549</v>
      </c>
      <c r="E18" s="90"/>
      <c r="F18" s="45"/>
      <c r="G18" s="89" t="s">
        <v>558</v>
      </c>
      <c r="H18" s="90"/>
      <c r="I18" s="45"/>
      <c r="J18" s="23"/>
    </row>
    <row r="19" spans="1:10" ht="15" customHeight="1">
      <c r="A19" s="41"/>
      <c r="B19" s="44" t="s">
        <v>506</v>
      </c>
      <c r="C19" s="45"/>
      <c r="D19" s="89" t="s">
        <v>550</v>
      </c>
      <c r="E19" s="90"/>
      <c r="F19" s="45"/>
      <c r="G19" s="89" t="s">
        <v>559</v>
      </c>
      <c r="H19" s="90"/>
      <c r="I19" s="45"/>
      <c r="J19" s="23"/>
    </row>
    <row r="20" spans="1:10" ht="15" customHeight="1">
      <c r="A20" s="85" t="s">
        <v>536</v>
      </c>
      <c r="B20" s="86"/>
      <c r="C20" s="45"/>
      <c r="D20" s="89" t="s">
        <v>551</v>
      </c>
      <c r="E20" s="90"/>
      <c r="F20" s="45"/>
      <c r="G20" s="89"/>
      <c r="H20" s="90"/>
      <c r="I20" s="48"/>
      <c r="J20" s="23"/>
    </row>
    <row r="21" spans="1:10" ht="15" customHeight="1">
      <c r="A21" s="85" t="s">
        <v>537</v>
      </c>
      <c r="B21" s="86"/>
      <c r="C21" s="45"/>
      <c r="D21" s="89"/>
      <c r="E21" s="90"/>
      <c r="F21" s="48"/>
      <c r="G21" s="89"/>
      <c r="H21" s="90"/>
      <c r="I21" s="48"/>
      <c r="J21" s="23"/>
    </row>
    <row r="22" spans="1:10" ht="16.5" customHeight="1">
      <c r="A22" s="85" t="s">
        <v>538</v>
      </c>
      <c r="B22" s="86"/>
      <c r="C22" s="45"/>
      <c r="D22" s="85" t="s">
        <v>552</v>
      </c>
      <c r="E22" s="86"/>
      <c r="F22" s="45"/>
      <c r="G22" s="85" t="s">
        <v>560</v>
      </c>
      <c r="H22" s="86"/>
      <c r="I22" s="45"/>
      <c r="J22" s="23"/>
    </row>
    <row r="23" spans="1:9" ht="12.75">
      <c r="A23" s="42"/>
      <c r="B23" s="42"/>
      <c r="C23" s="42"/>
      <c r="D23" s="7"/>
      <c r="E23" s="7"/>
      <c r="F23" s="7"/>
      <c r="G23" s="7"/>
      <c r="H23" s="7"/>
      <c r="I23" s="7"/>
    </row>
    <row r="24" spans="1:9" ht="15" customHeight="1">
      <c r="A24" s="87" t="s">
        <v>539</v>
      </c>
      <c r="B24" s="88"/>
      <c r="C24" s="46"/>
      <c r="D24" s="47"/>
      <c r="E24" s="17"/>
      <c r="F24" s="17"/>
      <c r="G24" s="17"/>
      <c r="H24" s="17"/>
      <c r="I24" s="17"/>
    </row>
    <row r="25" spans="1:10" ht="15" customHeight="1">
      <c r="A25" s="87" t="s">
        <v>573</v>
      </c>
      <c r="B25" s="88"/>
      <c r="C25" s="46"/>
      <c r="D25" s="87" t="s">
        <v>574</v>
      </c>
      <c r="E25" s="88"/>
      <c r="F25" s="46"/>
      <c r="G25" s="87" t="s">
        <v>561</v>
      </c>
      <c r="H25" s="88"/>
      <c r="I25" s="46"/>
      <c r="J25" s="23"/>
    </row>
    <row r="26" spans="1:10" ht="15" customHeight="1">
      <c r="A26" s="87" t="s">
        <v>571</v>
      </c>
      <c r="B26" s="88"/>
      <c r="C26" s="46"/>
      <c r="D26" s="87" t="s">
        <v>572</v>
      </c>
      <c r="E26" s="88"/>
      <c r="F26" s="46"/>
      <c r="G26" s="87" t="s">
        <v>562</v>
      </c>
      <c r="H26" s="88"/>
      <c r="I26" s="46"/>
      <c r="J26" s="23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10" ht="14.25" customHeight="1">
      <c r="A28" s="79" t="s">
        <v>540</v>
      </c>
      <c r="B28" s="80"/>
      <c r="C28" s="81"/>
      <c r="D28" s="79" t="s">
        <v>553</v>
      </c>
      <c r="E28" s="80"/>
      <c r="F28" s="81"/>
      <c r="G28" s="79" t="s">
        <v>563</v>
      </c>
      <c r="H28" s="80"/>
      <c r="I28" s="81"/>
      <c r="J28" s="24"/>
    </row>
    <row r="29" spans="1:10" ht="14.25" customHeight="1">
      <c r="A29" s="82"/>
      <c r="B29" s="83"/>
      <c r="C29" s="84"/>
      <c r="D29" s="82"/>
      <c r="E29" s="83"/>
      <c r="F29" s="84"/>
      <c r="G29" s="82"/>
      <c r="H29" s="83"/>
      <c r="I29" s="84"/>
      <c r="J29" s="24"/>
    </row>
    <row r="30" spans="1:10" ht="14.25" customHeight="1">
      <c r="A30" s="82"/>
      <c r="B30" s="83"/>
      <c r="C30" s="84"/>
      <c r="D30" s="82"/>
      <c r="E30" s="83"/>
      <c r="F30" s="84"/>
      <c r="G30" s="82"/>
      <c r="H30" s="83"/>
      <c r="I30" s="84"/>
      <c r="J30" s="24"/>
    </row>
    <row r="31" spans="1:10" ht="14.25" customHeight="1">
      <c r="A31" s="82"/>
      <c r="B31" s="83"/>
      <c r="C31" s="84"/>
      <c r="D31" s="82"/>
      <c r="E31" s="83"/>
      <c r="F31" s="84"/>
      <c r="G31" s="82"/>
      <c r="H31" s="83"/>
      <c r="I31" s="84"/>
      <c r="J31" s="24"/>
    </row>
    <row r="32" spans="1:10" ht="14.25" customHeight="1">
      <c r="A32" s="76" t="s">
        <v>541</v>
      </c>
      <c r="B32" s="77"/>
      <c r="C32" s="78"/>
      <c r="D32" s="76" t="s">
        <v>541</v>
      </c>
      <c r="E32" s="77"/>
      <c r="F32" s="78"/>
      <c r="G32" s="76" t="s">
        <v>541</v>
      </c>
      <c r="H32" s="77"/>
      <c r="I32" s="78"/>
      <c r="J32" s="24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8"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H4:H5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2013-08-09T11:05:47Z</cp:lastPrinted>
  <dcterms:created xsi:type="dcterms:W3CDTF">2011-03-31T10:20:33Z</dcterms:created>
  <dcterms:modified xsi:type="dcterms:W3CDTF">2013-08-09T11:05:50Z</dcterms:modified>
  <cp:category/>
  <cp:version/>
  <cp:contentType/>
  <cp:contentStatus/>
</cp:coreProperties>
</file>