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850" tabRatio="941" activeTab="0"/>
  </bookViews>
  <sheets>
    <sheet name="Krycí list rozpočtu" sheetId="1" r:id="rId1"/>
    <sheet name="VORN" sheetId="2" r:id="rId2"/>
    <sheet name="Rozpočet - objekty" sheetId="3" r:id="rId3"/>
    <sheet name="Krycí list objektu (SO 01)" sheetId="4" r:id="rId4"/>
    <sheet name="Stavební rozpočet (SO 01)" sheetId="5" r:id="rId5"/>
    <sheet name="VZT 1 (A)" sheetId="6" r:id="rId6"/>
    <sheet name="Krycí list objektu (SO 02)" sheetId="7" r:id="rId7"/>
    <sheet name="Stavební rozpočet (SO 02)" sheetId="8" r:id="rId8"/>
    <sheet name="Krycí list objektu (SO 03)" sheetId="9" r:id="rId9"/>
    <sheet name="Stavební rozpočet (SO 03)" sheetId="10" r:id="rId10"/>
    <sheet name="Rekapitulace-" sheetId="11" r:id="rId11"/>
    <sheet name="Soupis položek-" sheetId="12" r:id="rId12"/>
    <sheet name="R1-rekepitulace" sheetId="13" r:id="rId13"/>
    <sheet name="R1-soupis položek" sheetId="14" r:id="rId14"/>
    <sheet name="Krycí list objektu (SO 04)" sheetId="15" r:id="rId15"/>
    <sheet name="Stavební rozpočet (SO 04)" sheetId="16" r:id="rId16"/>
    <sheet name="Stavební rozpočet" sheetId="17" state="veryHidden" r:id="rId17"/>
  </sheets>
  <definedNames>
    <definedName name="_xlnm.Print_Titles" localSheetId="11">'Soupis položek-'!$7:$7</definedName>
    <definedName name="_xlnm.Print_Titles" localSheetId="5">'VZT 1 (A)'!$2:$6</definedName>
    <definedName name="_xlnm.Print_Area" localSheetId="3">'Krycí list objektu (SO 01)'!$A$1:$I$35</definedName>
    <definedName name="_xlnm.Print_Area" localSheetId="6">'Krycí list objektu (SO 02)'!$A$1:$I$35</definedName>
    <definedName name="_xlnm.Print_Area" localSheetId="8">'Krycí list objektu (SO 03)'!$A$1:$I$35</definedName>
    <definedName name="_xlnm.Print_Area" localSheetId="14">'Krycí list objektu (SO 04)'!$A$1:$I$35</definedName>
    <definedName name="_xlnm.Print_Area" localSheetId="0">'Krycí list rozpočtu'!$A$1:$I$37</definedName>
    <definedName name="_xlnm.Print_Area" localSheetId="12">'R1-rekepitulace'!$A$1:$F$21</definedName>
    <definedName name="_xlnm.Print_Area" localSheetId="11">'Soupis položek-'!$A$1:$I$49</definedName>
    <definedName name="_xlnm.Print_Area" localSheetId="1">'VORN'!$A$1:$I$41</definedName>
    <definedName name="_xlnm.Print_Area" localSheetId="5">'VZT 1 (A)'!$A$1:$H$139</definedName>
    <definedName name="vorn_sum">'VORN'!$I$40:$I$40</definedName>
  </definedNames>
  <calcPr fullCalcOnLoad="1"/>
</workbook>
</file>

<file path=xl/sharedStrings.xml><?xml version="1.0" encoding="utf-8"?>
<sst xmlns="http://schemas.openxmlformats.org/spreadsheetml/2006/main" count="2671" uniqueCount="611">
  <si>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</si>
  <si>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</si>
  <si>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</si>
  <si>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</si>
  <si>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</si>
  <si>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</si>
  <si>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</si>
  <si>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</si>
  <si>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</si>
  <si>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</si>
  <si>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</si>
  <si>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</si>
  <si>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</si>
  <si>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</si>
  <si>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</si>
  <si>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</si>
  <si>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</si>
  <si>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</si>
  <si>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</si>
  <si>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</si>
  <si>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</si>
  <si>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</si>
  <si>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</si>
  <si>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</si>
  <si>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</si>
  <si>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</si>
  <si>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</si>
  <si>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</si>
  <si>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</si>
  <si>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</si>
  <si>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</si>
  <si>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</si>
  <si>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</si>
  <si>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</si>
  <si>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</si>
  <si>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</si>
  <si>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</si>
  <si>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</si>
  <si>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</si>
  <si>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</si>
  <si>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</si>
  <si>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</si>
  <si>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</si>
  <si>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</si>
  <si>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</si>
  <si>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</si>
  <si>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</si>
  <si>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</si>
  <si>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</si>
  <si>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</si>
  <si>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</si>
  <si>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</si>
  <si>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</si>
  <si>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</si>
  <si>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</si>
  <si>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</si>
  <si>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00237264/není plátce DPH</t>
  </si>
  <si>
    <t>12039373/CZ6407301032</t>
  </si>
  <si>
    <t>49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</si>
  <si>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</si>
  <si>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</si>
  <si>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</si>
  <si>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</si>
  <si>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</si>
  <si>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</si>
  <si>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</si>
  <si>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Vytyčení podzemních IS</t>
  </si>
  <si>
    <t>Dokumentace skutečného provedení</t>
  </si>
  <si>
    <t>Výchozí revize VZT</t>
  </si>
  <si>
    <t>Revize NN</t>
  </si>
  <si>
    <t>Zaškolení obsluhy</t>
  </si>
  <si>
    <t>Celkem ORN</t>
  </si>
  <si>
    <t>Vedlejší a ostatní rozpočtové náklady</t>
  </si>
  <si>
    <t>Kč</t>
  </si>
  <si>
    <t>%</t>
  </si>
  <si>
    <t>Základna</t>
  </si>
  <si>
    <t>Stavební rozpočet - Jen objekty celkem</t>
  </si>
  <si>
    <t xml:space="preserve"> </t>
  </si>
  <si>
    <t>Objekt</t>
  </si>
  <si>
    <t>SO 01</t>
  </si>
  <si>
    <t>SO 02</t>
  </si>
  <si>
    <t>SO 03</t>
  </si>
  <si>
    <t>SO 04</t>
  </si>
  <si>
    <t>Zkrácený popis</t>
  </si>
  <si>
    <t>VZT TECHNOLOGIE</t>
  </si>
  <si>
    <t>VZT - STAVEBNÍ PŘIPRAVENOST</t>
  </si>
  <si>
    <t>VZT - NN ROZVODY</t>
  </si>
  <si>
    <t>NAKLÁDÁNÍ S NO - MATERIÁL ACM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</si>
  <si>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</si>
  <si>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</si>
  <si>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</si>
  <si>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</si>
  <si>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</si>
  <si>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</si>
  <si>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</si>
  <si>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</si>
  <si>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Krycí list rozpočtu (SO 01 - VZT TECHNOLOGIE)</t>
  </si>
  <si>
    <t>1</t>
  </si>
  <si>
    <t>Kód</t>
  </si>
  <si>
    <t>728VD</t>
  </si>
  <si>
    <t>Vzduchotechnika</t>
  </si>
  <si>
    <t>Stavební rozpočet (SO 01 - VZT TECHNOLOGIE)</t>
  </si>
  <si>
    <t>Č</t>
  </si>
  <si>
    <t>728000100VD</t>
  </si>
  <si>
    <t>Rozměry</t>
  </si>
  <si>
    <t>Dodávka a montáž vzduchotechniky - převeod ze záložky</t>
  </si>
  <si>
    <t>M.j.</t>
  </si>
  <si>
    <t>kpl</t>
  </si>
  <si>
    <t>Množství</t>
  </si>
  <si>
    <t>Jednot.</t>
  </si>
  <si>
    <t>cena (Kč)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</si>
  <si>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</si>
  <si>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</si>
  <si>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</si>
  <si>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</si>
  <si>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</si>
  <si>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</si>
  <si>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</si>
  <si>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</si>
  <si>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</si>
  <si>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</si>
  <si>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</si>
  <si>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</t>
  </si>
  <si>
    <t>728VD_</t>
  </si>
  <si>
    <t>SO 01_72_</t>
  </si>
  <si>
    <t>SO 01_</t>
  </si>
  <si>
    <t>Krycí list rozpočtu (SO 02 - VZT - STAVEBNÍ PŘIPRAVENOST)</t>
  </si>
  <si>
    <t>38</t>
  </si>
  <si>
    <t>13</t>
  </si>
  <si>
    <t>16</t>
  </si>
  <si>
    <t>27</t>
  </si>
  <si>
    <t>31</t>
  </si>
  <si>
    <t>34</t>
  </si>
  <si>
    <t>61</t>
  </si>
  <si>
    <t>62</t>
  </si>
  <si>
    <t>721</t>
  </si>
  <si>
    <t>722</t>
  </si>
  <si>
    <t>766</t>
  </si>
  <si>
    <t>767</t>
  </si>
  <si>
    <t>784</t>
  </si>
  <si>
    <t>97</t>
  </si>
  <si>
    <t>H01</t>
  </si>
  <si>
    <t>S</t>
  </si>
  <si>
    <t>Hloubené vykopávky</t>
  </si>
  <si>
    <t>Přemístění výkopku</t>
  </si>
  <si>
    <t>Základy</t>
  </si>
  <si>
    <t>Zdi podpěrné a volné</t>
  </si>
  <si>
    <t>Stěny a příčky</t>
  </si>
  <si>
    <t>Úprava povrchů vnitřní</t>
  </si>
  <si>
    <t>Úprava povrchů vnější</t>
  </si>
  <si>
    <t>Vnitřní kanalizace</t>
  </si>
  <si>
    <t>Vnitřní vodovod</t>
  </si>
  <si>
    <t>Konstrukce truhlářské</t>
  </si>
  <si>
    <t>Konstrukce doplňkové stavební (zámečnické)</t>
  </si>
  <si>
    <t>Malby</t>
  </si>
  <si>
    <t>Prorážení otvorů a ostatní bourací práce</t>
  </si>
  <si>
    <t>Budovy občanské výstavby</t>
  </si>
  <si>
    <t>Přesuny sutí</t>
  </si>
  <si>
    <t>Stavební rozpočet (SO 02 - VZT - STAVEBNÍ PŘIPRAVENOST)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</si>
  <si>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</si>
  <si>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</si>
  <si>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</si>
  <si>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</si>
  <si>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</si>
  <si>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</si>
  <si>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</si>
  <si>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</si>
  <si>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</si>
  <si>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</si>
  <si>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</si>
  <si>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</si>
  <si>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</si>
  <si>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</si>
  <si>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</si>
  <si>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</si>
  <si>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</si>
  <si>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</si>
  <si>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</si>
  <si>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</si>
  <si>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</si>
  <si>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</si>
  <si>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</si>
  <si>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</si>
  <si>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</si>
  <si>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</si>
  <si>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33</t>
  </si>
  <si>
    <t>35</t>
  </si>
  <si>
    <t>36</t>
  </si>
  <si>
    <t>37</t>
  </si>
  <si>
    <t>131201110R00</t>
  </si>
  <si>
    <t>162401102RT3</t>
  </si>
  <si>
    <t>162201102R00</t>
  </si>
  <si>
    <t>167101101R00</t>
  </si>
  <si>
    <t>275311117R00</t>
  </si>
  <si>
    <t>275351215R00</t>
  </si>
  <si>
    <t>275351216R00</t>
  </si>
  <si>
    <t>319202321R00</t>
  </si>
  <si>
    <t>342264051RT2</t>
  </si>
  <si>
    <t>342264091R00</t>
  </si>
  <si>
    <t>342264102R00</t>
  </si>
  <si>
    <t>342091051R00</t>
  </si>
  <si>
    <t>349234831R00</t>
  </si>
  <si>
    <t>28650018</t>
  </si>
  <si>
    <t>28349014</t>
  </si>
  <si>
    <t>612421637R00</t>
  </si>
  <si>
    <t>622397132R00</t>
  </si>
  <si>
    <t>721194103R00</t>
  </si>
  <si>
    <t>28650552</t>
  </si>
  <si>
    <t>722172610R00</t>
  </si>
  <si>
    <t>766695212R00</t>
  </si>
  <si>
    <t>5534301660</t>
  </si>
  <si>
    <t>766661413R00</t>
  </si>
  <si>
    <t>61165702</t>
  </si>
  <si>
    <t>767995105R00</t>
  </si>
  <si>
    <t>13388430</t>
  </si>
  <si>
    <t>767917001R00</t>
  </si>
  <si>
    <t>59590506.A</t>
  </si>
  <si>
    <t>55343600</t>
  </si>
  <si>
    <t>59590518.A</t>
  </si>
  <si>
    <t>784165522R00</t>
  </si>
  <si>
    <t>784164122R00</t>
  </si>
  <si>
    <t>971081511R00</t>
  </si>
  <si>
    <t>971033541R00</t>
  </si>
  <si>
    <t>998011001R00</t>
  </si>
  <si>
    <t>979083116R00</t>
  </si>
  <si>
    <t>979990107R00</t>
  </si>
  <si>
    <t>Hloubení nezapaž. jam hor.3 do 50 m3, STROJNĚ</t>
  </si>
  <si>
    <t>5,5*1*0,8   blok 1</t>
  </si>
  <si>
    <t>1*1*0,8   blok 2</t>
  </si>
  <si>
    <t>11*0,4*0,4*1   základy protihluku</t>
  </si>
  <si>
    <t>Vodorovné přemístění výkopku z hor.1-4 do 2000 m</t>
  </si>
  <si>
    <t>Vodorovné přemístění výkopku z hor.1-4 do 50 m</t>
  </si>
  <si>
    <t>Nakládání výkopku z hor.1-4 v množství do 100 m3</t>
  </si>
  <si>
    <t>Beton základ. patek prostý z cem. portlad. C 25/30</t>
  </si>
  <si>
    <t>5,5*1*1</t>
  </si>
  <si>
    <t>1*1*1</t>
  </si>
  <si>
    <t>11*0,4*0,4*1,0</t>
  </si>
  <si>
    <t>Bednění stěn základových patek - zřízení</t>
  </si>
  <si>
    <t>(1+1+5,5+5,5)*0,5</t>
  </si>
  <si>
    <t>(4*1)*0,5</t>
  </si>
  <si>
    <t>11*(4*0,4)*0,5</t>
  </si>
  <si>
    <t>Bednění stěn základových patek - odstranění</t>
  </si>
  <si>
    <t>17,3</t>
  </si>
  <si>
    <t>Vyrovnání povrchu zdiva přizděním do tl. 8 cm - dozdívky prostupů</t>
  </si>
  <si>
    <t>16*4*0,8*0,15</t>
  </si>
  <si>
    <t>Podhled sádrokartonový na zavěšenou ocel. konstr. desky protipožární tl. 12,5 mm, bez izolace - svislá/vodorovná</t>
  </si>
  <si>
    <t>(1,5+8,4+2,1+2+1,7+3,7+2,3)*(0,5+0,4)   šíře 500mm; výška 400 mm</t>
  </si>
  <si>
    <t>(2,8+2,8+2,8+2,1+6)*(0,4+0,4)   šíře 400mm; výška 400 mm</t>
  </si>
  <si>
    <t>(2,1+1+1+1,78+3,8+4,5+3)*(0,3+0,3)   šíře 300mm; výška 300 mm - chlazení klima</t>
  </si>
  <si>
    <t>(1,5+1+2,8+2,7)*(0,6+0,4)   šíře 600mm; výška 400 mm</t>
  </si>
  <si>
    <t>Příplatek k podhledu sádrokartonu - vyšší pracnost - zakrytí VZT rozvodů</t>
  </si>
  <si>
    <t>44</t>
  </si>
  <si>
    <t>Osazení ventilačních otvorů do 0,50 m2 - sání VZT</t>
  </si>
  <si>
    <t>16+3</t>
  </si>
  <si>
    <t>Příplatek vytmelení spáry - stěna/strop - požární provedení včetně dodávky systémového tmelu</t>
  </si>
  <si>
    <t>(10+4+20+6,5+6+2)*2</t>
  </si>
  <si>
    <t>Doplnění zdiva - požární prostup kolem VZT technologie</t>
  </si>
  <si>
    <t>7*0,8*0,8</t>
  </si>
  <si>
    <t>Manžeta protipožární Intumex na VZT potrubí</t>
  </si>
  <si>
    <t>Osazení reviz. dvířek do SDK podhledu, do 0,50 m2</t>
  </si>
  <si>
    <t>4   revizní otvory pro čerpadla kondenzátu klima</t>
  </si>
  <si>
    <t>Dvířka revizní plná SI 3030 rozměr 300x300 mm</t>
  </si>
  <si>
    <t>Omítka vnitřní zdiva, MVC, štuková</t>
  </si>
  <si>
    <t>16*0,8*4*0,5</t>
  </si>
  <si>
    <t>Oprava KZS,plocha do 1 m2, EPS, silikonová omítka</t>
  </si>
  <si>
    <t>6   prostupy VZT - zapracování prostupu, vyspravení plochy kolem věntilačního prostupu</t>
  </si>
  <si>
    <t>Vyvedení odpadních výpustek D 32 x 1,8</t>
  </si>
  <si>
    <t>Tvarovka T zkrácená odpadní PVC  D 32 mm</t>
  </si>
  <si>
    <t>Potrubí z PPR Instaplast, studená, D 16x2,2 mm - tlakové čerpání kondenzátu</t>
  </si>
  <si>
    <t>14+12+6+2   odpadní potrubí kondenzátu klimajednotek</t>
  </si>
  <si>
    <t>Montáž větracích mřížek do dveří  včetně vytvoření odpovídajícího otvoru ve dveřích</t>
  </si>
  <si>
    <t>10+10</t>
  </si>
  <si>
    <t>Větrací mřížka do veří  100/300 mm - kovová</t>
  </si>
  <si>
    <t>Montáž dveří protipožár.1kř.do 80 cm</t>
  </si>
  <si>
    <t>Dveře protipožární CPL EI30 DP3 80x197</t>
  </si>
  <si>
    <t>Výroba a montáž kov. atypických konstr. do 100 kg - sloupy protihluku</t>
  </si>
  <si>
    <t>7*68</t>
  </si>
  <si>
    <t>4*68</t>
  </si>
  <si>
    <t>Tyč průřezu HEA120, střední, jakost oceli S235 - žárově pozinkovaná</t>
  </si>
  <si>
    <t>11*2,5*27,5/1000</t>
  </si>
  <si>
    <t>Montáž protihlukových stěn - prefabrikáty</t>
  </si>
  <si>
    <t>(2,05+8,2)*1,5</t>
  </si>
  <si>
    <t>(2,05+2,05)*1,5</t>
  </si>
  <si>
    <t>Velox-WSO 2000x500x70 mm  systém 4002 deska WSO 105 - pohltivost 11dB</t>
  </si>
  <si>
    <t>7*3</t>
  </si>
  <si>
    <t>FC POWERPANEL HD soklový profil 2,5 m</t>
  </si>
  <si>
    <t>Velox horní uzavírací prvek  - ACR plech tvarovaný</t>
  </si>
  <si>
    <t>2,2+8,2</t>
  </si>
  <si>
    <t>2,2+2,2</t>
  </si>
  <si>
    <t>Malba HET Klasik, barva, bez penetrace, 2 x</t>
  </si>
  <si>
    <t>55   SDK konstrukce</t>
  </si>
  <si>
    <t>Malba latexová HET univerzál.,barva, bez penetr.2x</t>
  </si>
  <si>
    <t>75   opravy stěn po prostupech VZT</t>
  </si>
  <si>
    <t>Vybourání otvorů příčky deskovédo1,0 m2, tl. 15 cm - OBSAHUJE ACM</t>
  </si>
  <si>
    <t>20 *0,5*0,5</t>
  </si>
  <si>
    <t>Vybourání otv. zeď cihel. pl. DO1 m2, tl.30 cm, MVC</t>
  </si>
  <si>
    <t>16*0,8*0,8*0,3</t>
  </si>
  <si>
    <t>Přesun hmot pro budovy zděné výšky do 6 m</t>
  </si>
  <si>
    <t>32,93464</t>
  </si>
  <si>
    <t>Vodorovné přemístění suti na skládku do 5000 m</t>
  </si>
  <si>
    <t>5,5</t>
  </si>
  <si>
    <t>Poplatek za skládku suti - směs betonu,cihel,dřeva</t>
  </si>
  <si>
    <t>m3</t>
  </si>
  <si>
    <t>m2</t>
  </si>
  <si>
    <t>kus</t>
  </si>
  <si>
    <t>m</t>
  </si>
  <si>
    <t>kg</t>
  </si>
  <si>
    <t>t</t>
  </si>
  <si>
    <t>RTS II / 2017</t>
  </si>
  <si>
    <t>13_</t>
  </si>
  <si>
    <t>16_</t>
  </si>
  <si>
    <t>27_</t>
  </si>
  <si>
    <t>31_</t>
  </si>
  <si>
    <t>34_</t>
  </si>
  <si>
    <t>61_</t>
  </si>
  <si>
    <t>62_</t>
  </si>
  <si>
    <t>721_</t>
  </si>
  <si>
    <t>722_</t>
  </si>
  <si>
    <t>766_</t>
  </si>
  <si>
    <t>767_</t>
  </si>
  <si>
    <t>784_</t>
  </si>
  <si>
    <t>97_</t>
  </si>
  <si>
    <t>H01_</t>
  </si>
  <si>
    <t>S_</t>
  </si>
  <si>
    <t>SO 02_1_</t>
  </si>
  <si>
    <t>SO 02_2_</t>
  </si>
  <si>
    <t>SO 02_3_</t>
  </si>
  <si>
    <t>SO 02_6_</t>
  </si>
  <si>
    <t>SO 02_72_</t>
  </si>
  <si>
    <t>SO 02_76_</t>
  </si>
  <si>
    <t>SO 02_78_</t>
  </si>
  <si>
    <t>SO 02_9_</t>
  </si>
  <si>
    <t>SO 02_</t>
  </si>
  <si>
    <t>Krycí list rozpočtu (SO 03 - VZT - NN ROZVODY)</t>
  </si>
  <si>
    <t>M210VD</t>
  </si>
  <si>
    <t>elektro montáže</t>
  </si>
  <si>
    <t>Stavební rozpočet (SO 03 - VZT - NN ROZVODY)</t>
  </si>
  <si>
    <t>210000100VD</t>
  </si>
  <si>
    <t>Dodávka a montáž NN - převod ze záložky</t>
  </si>
  <si>
    <t>M210VD_</t>
  </si>
  <si>
    <t>SO 03_9_</t>
  </si>
  <si>
    <t>SO 03_</t>
  </si>
  <si>
    <t>Krycí list rozpočtu (SO 04 - NAKLÁDÁNÍ S NO - MATERIÁL ACM)</t>
  </si>
  <si>
    <t>M410VD</t>
  </si>
  <si>
    <t>Ochrana - chemický průmysl</t>
  </si>
  <si>
    <t>Stavební rozpočet (SO 04 - NAKLÁDÁNÍ S NO - MATERIÁL ACM)</t>
  </si>
  <si>
    <t>410600170VD</t>
  </si>
  <si>
    <t>410600250VD</t>
  </si>
  <si>
    <t>410600500VD</t>
  </si>
  <si>
    <t>410600450VD</t>
  </si>
  <si>
    <t>410600820VD</t>
  </si>
  <si>
    <t>410600855VD</t>
  </si>
  <si>
    <t>979087011R00</t>
  </si>
  <si>
    <t>979087018R00</t>
  </si>
  <si>
    <t>979990201R00</t>
  </si>
  <si>
    <t>Vytvoření kontrolního pásma z vnitřní strany objektu včetně osazení personální a  materiálové dekontaminační jednotky</t>
  </si>
  <si>
    <t>(1,5+1+0,8+1+1+1,3+0,8+0,8+0,8+3,3+1+1+3,3)*3   prostupy stěnami  pavilon 1</t>
  </si>
  <si>
    <t>(0,8+1+2+1,8+1+1,3+0,8+1+2,3+2,1+1+0,8+1+1+1,7+1+0,8+0,8+2+0,8+1,3+1+1+1,3+0,8+2+0,8+1,3+1+1,8+1)*3   prostupy stěnami  pavilon 2</t>
  </si>
  <si>
    <t>5,9*6,2   kuchyň  pavilon2</t>
  </si>
  <si>
    <t>Zrušení kontrolního pásma - rozebrání, přenos a uložení do kontejneru na skládku</t>
  </si>
  <si>
    <t>205</t>
  </si>
  <si>
    <t>Osobní ochranné pracovní pomůcky a prostředky</t>
  </si>
  <si>
    <t>0,3</t>
  </si>
  <si>
    <t>Odsávací zařízení - podtlak min 20 Pa, včetně kontinuálního monitoringu - mobilní  odsávací jednotka  - v průběhu bourání průrazů</t>
  </si>
  <si>
    <t>20*1</t>
  </si>
  <si>
    <t>Vysátí a vyčištění kontrolované zóny před zrušením PKP</t>
  </si>
  <si>
    <t>170+25   stěny - KP</t>
  </si>
  <si>
    <t>35+35   podkaha + strop</t>
  </si>
  <si>
    <t>Závěrečné měření koncentrace respiračních vláken v objektu</t>
  </si>
  <si>
    <t>53+64+195</t>
  </si>
  <si>
    <t>Odvoz konstrukcí z AZC na skládku do 1 km</t>
  </si>
  <si>
    <t>0,5   bourání</t>
  </si>
  <si>
    <t>0,5   kontrolované pásmo</t>
  </si>
  <si>
    <t>Odvoz na skládku  AZC, příplatek za dalších 5 km</t>
  </si>
  <si>
    <t>1*10</t>
  </si>
  <si>
    <t>Poplatek za skládku suti -azbestocementové výrobky- ACM - kontaminovaný materiál (OP, KP)</t>
  </si>
  <si>
    <t>strojho</t>
  </si>
  <si>
    <t>M410VD_</t>
  </si>
  <si>
    <t>SO 04_9_</t>
  </si>
  <si>
    <t>SO 04_</t>
  </si>
  <si>
    <t>Stavební rozpočet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</si>
  <si>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</si>
  <si>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</si>
  <si>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</si>
  <si>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</si>
  <si>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</si>
  <si>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</si>
  <si>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</si>
  <si>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</si>
  <si>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</si>
  <si>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MŠ Velký Borek, energeticky úsporné větrání</t>
  </si>
  <si>
    <t>TZB - Technika prostředí - VZT řízené větrání s rekuperací, chlazení</t>
  </si>
  <si>
    <t>Školní  č.p. 226, Velký Borek</t>
  </si>
  <si>
    <t>92 dní</t>
  </si>
  <si>
    <t>31.08.2018</t>
  </si>
  <si>
    <t>10.11.2017</t>
  </si>
  <si>
    <t>Obec Velký Borek</t>
  </si>
  <si>
    <t>Ing. Jiří Šír - VISTA</t>
  </si>
  <si>
    <t>Vzejde z výběrového řízení</t>
  </si>
  <si>
    <t>Ing. Jiří Šír</t>
  </si>
  <si>
    <t>VZT - TECHNOLOGIE</t>
  </si>
  <si>
    <t>Dodávka a montáž vzduchotechniky - převod ze záložky</t>
  </si>
  <si>
    <t/>
  </si>
  <si>
    <t>název akce: Velký Borek DPS</t>
  </si>
  <si>
    <t>objekt: VZT-elektroinstalace</t>
  </si>
  <si>
    <t>Rekapitulace ceny</t>
  </si>
  <si>
    <t>p.č.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</si>
  <si>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</si>
  <si>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</si>
  <si>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</si>
  <si>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</si>
  <si>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</si>
  <si>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</si>
  <si>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</si>
  <si>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</si>
  <si>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</si>
  <si>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</si>
  <si>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</si>
  <si>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</si>
  <si>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</si>
  <si>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</si>
  <si>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</si>
  <si>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PV/ narušení dopravy</t>
  </si>
  <si>
    <t>NÁKLADY hl.VI celkem</t>
  </si>
  <si>
    <t>kompletační činnost</t>
  </si>
  <si>
    <t>revize</t>
  </si>
  <si>
    <t>investorská činnost</t>
  </si>
  <si>
    <t>NÁKLADY hl.XI celkem</t>
  </si>
  <si>
    <t>projekty</t>
  </si>
  <si>
    <t>autorský dozor</t>
  </si>
  <si>
    <t>NÁKLADY hl.I celkem</t>
  </si>
  <si>
    <t>CENA bez DPH (Kč)</t>
  </si>
  <si>
    <t>SPC - Materiál</t>
  </si>
  <si>
    <t>Montážní práce</t>
  </si>
  <si>
    <t>Celkem část NN (bez DPH)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</si>
  <si>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</si>
  <si>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</si>
  <si>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</si>
  <si>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</si>
  <si>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</si>
  <si>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</si>
  <si>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</si>
  <si>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</si>
  <si>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</si>
  <si>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</si>
  <si>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</si>
  <si>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</si>
  <si>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</si>
  <si>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</si>
  <si>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oceloplechový 36 modulů        ozn.R1</t>
  </si>
  <si>
    <t>ks</t>
  </si>
  <si>
    <t>*</t>
  </si>
  <si>
    <t>DE</t>
  </si>
  <si>
    <t>součet</t>
  </si>
  <si>
    <t>Materiál elektromontážní</t>
  </si>
  <si>
    <t>kabel CYKY 3x1,5</t>
  </si>
  <si>
    <t>ME</t>
  </si>
  <si>
    <t>kabel CYKY 3x2,5</t>
  </si>
  <si>
    <t>kabel CYKY 4x10</t>
  </si>
  <si>
    <t>kabel CYKY 5x2,5</t>
  </si>
  <si>
    <t>kabel CYKY 5x6</t>
  </si>
  <si>
    <t>vodič CY 4  /H07V-U/</t>
  </si>
  <si>
    <t>vodič CY 6  /H07V-U/</t>
  </si>
  <si>
    <t>krabice univerz/rozvodka KU68-1903 vč.KO68 +S66</t>
  </si>
  <si>
    <t>krabice univerzální/přístrojová KU68-1901</t>
  </si>
  <si>
    <t>přepínač 10A/250Vstř Classic 3553-05289 řaz.5</t>
  </si>
  <si>
    <t>svítidlo záři V3 214/2x14W/IP65/těleso ABS kryt PC</t>
  </si>
  <si>
    <t>Z</t>
  </si>
  <si>
    <t>zářivka lineární T5 HE pr16mm/L549mm/G5 14W</t>
  </si>
  <si>
    <t>startér zářivkový</t>
  </si>
  <si>
    <t>CF30/100 EZ kabelová lávka  3 m  000021</t>
  </si>
  <si>
    <t>Elektromontáže</t>
  </si>
  <si>
    <t>kabel Cu(-CYKY) pod omítkou do 2x4/3x2,5/5x1,5</t>
  </si>
  <si>
    <t>CE</t>
  </si>
  <si>
    <t>kabel(-CYKY) pevně ulož.do 5x10/12x4/19x2,5/24x1,5</t>
  </si>
  <si>
    <t>kabel(-CYKY) pevně uložený do 3x6/4x4/7x2,5</t>
  </si>
  <si>
    <t>kabel(-CYKY) pevně uložený do 5x6/7x4/12x1,5</t>
  </si>
  <si>
    <t>ukončení na svorkovnici vodič do 16mm2</t>
  </si>
  <si>
    <t>vodič Cu(-CY,CYA) pevně uložený do 1x35</t>
  </si>
  <si>
    <t>krabicová rozvodka vč.svorkovn.a zapojení(-KR68)</t>
  </si>
  <si>
    <t>krabice přístrojová bez zapojení</t>
  </si>
  <si>
    <t>přepínač zapuštěný vč.zapojení sériový/řazení 5-5A</t>
  </si>
  <si>
    <t>rozvodnice do hmotnosti 100kg</t>
  </si>
  <si>
    <t>kabelový rošt do š.40cm včetně kotevních prvků do zdiva</t>
  </si>
  <si>
    <t>Ostatní náklady</t>
  </si>
  <si>
    <t>poplatek za recyklaci svítidla</t>
  </si>
  <si>
    <t>ON</t>
  </si>
  <si>
    <t>poplatek za recyklaci světelného zdroje</t>
  </si>
  <si>
    <t>Datum: 08.11.2017</t>
  </si>
  <si>
    <t>Vypracoval:</t>
  </si>
  <si>
    <t>označení rozvaděče: R1</t>
  </si>
  <si>
    <t>popis rozvaděče: oceloplechový 36 modulů</t>
  </si>
  <si>
    <t xml:space="preserve">Rekapitulace rozvaděče </t>
  </si>
  <si>
    <t>Materiál nosný</t>
  </si>
  <si>
    <t>podružný (%)</t>
  </si>
  <si>
    <t>Materiál celkem</t>
  </si>
  <si>
    <t>Výroba rozvaděče (Nh)</t>
  </si>
  <si>
    <t>Cena za 1 ks</t>
  </si>
  <si>
    <t>počet (ks)</t>
  </si>
  <si>
    <t>Cena celkem</t>
  </si>
  <si>
    <t>popis rozvaděče: oceloplec</t>
  </si>
  <si>
    <t>cena/mj.</t>
  </si>
  <si>
    <t>Rozpis rozvaděče R1</t>
  </si>
  <si>
    <t>skříň Univers 48M/650x300x110mm/IP31 zapu  FW41US1</t>
  </si>
  <si>
    <t>sběrnice hřebenová KB380A  3pól 12x16mm2 zubová</t>
  </si>
  <si>
    <t>ochranná přípojnice FeZn30/4</t>
  </si>
  <si>
    <t>montážní přístrojový rošt s lištami</t>
  </si>
  <si>
    <t>přístrojový zákryt plechový</t>
  </si>
  <si>
    <t>vypínač páčkový 3pól SB363 400V/63A na lištu</t>
  </si>
  <si>
    <t>jistič NB116T 1pól/ch.B/10kA/16A</t>
  </si>
  <si>
    <t>jistič NB125T 1pól/ch.B/10kA/25A</t>
  </si>
  <si>
    <t>jistič NB332T 3pól/ch.B/10kA/32A</t>
  </si>
  <si>
    <t>jistič NB363T 3pól/ch.B/10kA/63A</t>
  </si>
  <si>
    <t>jistič NC1.. 1pól/ch.C/10kA/ 3-4A</t>
  </si>
  <si>
    <t>jistič NC306T 3pól/ch.C/10kA/ 6A</t>
  </si>
  <si>
    <t xml:space="preserve"> součet</t>
  </si>
  <si>
    <t>VZDUCHOTECHNIKA</t>
  </si>
  <si>
    <t>Výr. příkaz číslo</t>
  </si>
  <si>
    <t>Varianta :</t>
  </si>
  <si>
    <t>I.</t>
  </si>
  <si>
    <t>Větrání MŠ Velký Borek</t>
  </si>
  <si>
    <t>Datum :</t>
  </si>
  <si>
    <t>9.2017</t>
  </si>
  <si>
    <t>Pozice</t>
  </si>
  <si>
    <t>Z a ř í z e n í  -  č i n n o s t</t>
  </si>
  <si>
    <t>příklady Výrobců</t>
  </si>
  <si>
    <t>Jed-</t>
  </si>
  <si>
    <t>Množ-</t>
  </si>
  <si>
    <t>Jednotková</t>
  </si>
  <si>
    <t xml:space="preserve">Celková </t>
  </si>
  <si>
    <t>poznámky</t>
  </si>
  <si>
    <t>notky</t>
  </si>
  <si>
    <t>ství</t>
  </si>
  <si>
    <t>cena</t>
  </si>
  <si>
    <t>Zařízení č.1: Větrání herny</t>
  </si>
  <si>
    <t>MaR VZT zprovoznění</t>
  </si>
  <si>
    <t>AHU komunikační box KM113.07-OU</t>
  </si>
  <si>
    <t>propojení VZT jednotky a kondenzační jednotky MaR</t>
  </si>
  <si>
    <t>Spiro potrubí průměr 250 mm</t>
  </si>
  <si>
    <t>bm</t>
  </si>
  <si>
    <t>Izolace kruhového potrubí potrubí o tloušťce 100 mm</t>
  </si>
  <si>
    <t>Spiro koleno 90° 250 mm</t>
  </si>
  <si>
    <t xml:space="preserve">nasávací žaluzie kruhová </t>
  </si>
  <si>
    <t>Spiro potrubí průměr 150 mm</t>
  </si>
  <si>
    <t>Spiro koleno 90° 150 mm</t>
  </si>
  <si>
    <t>Spiro potrubí průměr 100 mm</t>
  </si>
  <si>
    <t>talířový venil odvodní 100 mm</t>
  </si>
  <si>
    <t>Výuska komfortní KVK1-V-2.0 400x75</t>
  </si>
  <si>
    <t>Regulační klapka VKE-R1 400x75</t>
  </si>
  <si>
    <t>Potrubí hranaté</t>
  </si>
  <si>
    <t>Izolace kaučuková samolepící o tloušťce 19 mm</t>
  </si>
  <si>
    <t>Výustka komfortní VKE-H-1.0 400x100</t>
  </si>
  <si>
    <t>Regulační klapka VKE-R1 400x100</t>
  </si>
  <si>
    <t>Textilní výustka</t>
  </si>
  <si>
    <t xml:space="preserve">Požární klapka, ovládaná mechanicky na pružinu s DV1-2; ZV + dva koncové spínače se signalizací polohy klapky
„OTEVŘENO“ a „ZAVŘENO“, 24 V (AC/DC) / 230 V (AC). O rozměru 315 x 315 mm
</t>
  </si>
  <si>
    <t xml:space="preserve">Požární klapka, ovládaná mechanicky na pružinu s DV1-2; ZV + dva koncové spínače se signalizací polohy klapky
„OTEVŘENO“ a „ZAVŘENO“, 24 V (AC/DC) / 230 V (AC). O rozměru 315 x 355 mm
</t>
  </si>
  <si>
    <t>Kulisový tlumič hluku 2ks 315x315x1500</t>
  </si>
  <si>
    <t>Kulisový tlumič hluku 2ks 315x355x1500</t>
  </si>
  <si>
    <t>Propojovací měděné potrubí Cu 6/10 mm</t>
  </si>
  <si>
    <t>Mezisoučet</t>
  </si>
  <si>
    <t>Zařízení č.2: Větrání jídelny</t>
  </si>
  <si>
    <t>Zařízení č.3: Větrání kuchyně</t>
  </si>
  <si>
    <t>Spiro potrubí průměr 200 mm</t>
  </si>
  <si>
    <t>Spiro koleno 90° 200 mm</t>
  </si>
  <si>
    <t>Odbočka jednostraná 90° 200/100 mm</t>
  </si>
  <si>
    <t>Odbočka jednostraná 90° 150/100 mm</t>
  </si>
  <si>
    <t>Spiro koleno 90° 100 mm</t>
  </si>
  <si>
    <t>Odbočka jednostraná 90° 100/100 mm</t>
  </si>
  <si>
    <t>Talířový venil odvodní 100 mm</t>
  </si>
  <si>
    <t>Talířový venil přívodní 100 mm</t>
  </si>
  <si>
    <t xml:space="preserve">Výustka komfortní  KVK1-H-2.0 400x75 </t>
  </si>
  <si>
    <t>Izolace s hliníkovou foií na povrchu tloušťka 100 mm</t>
  </si>
  <si>
    <t>nasávací a výfuková žaluzie</t>
  </si>
  <si>
    <t>odvětrávací strop pro kuchyň + montáž</t>
  </si>
  <si>
    <t xml:space="preserve">Požární klapka, ovládaná mechanicky na pružinu s DV1-2; ZV + dva koncové spínače se signalizací polohy klapky
„OTEVŘENO“ a „ZAVŘENO“, 24 V (AC/DC) / 230 V (AC). O rozměru 900 x 315 mm
</t>
  </si>
  <si>
    <t xml:space="preserve">Požární klapka, ovládaná mechanicky na pružinu s DV1-2; ZV + dva koncové spínače se signalizací polohy klapky
„OTEVŘENO“ a „ZAVŘENO“, 24 V (AC/DC) / 230 V (AC). O rozměru 800 x 315 mm
</t>
  </si>
  <si>
    <t xml:space="preserve">Požární klapka, ovládaná mechanicky na pružinu s DV1-2; ZV + dva koncové spínače se signalizací polohy klapky
„OTEVŘENO“ a „ZAVŘENO“, 24 V (AC/DC) / 230 V (AC). O rozměru 315 x 100 mm
</t>
  </si>
  <si>
    <t>Propojovací měděné potrubí Cu 10/22 mm</t>
  </si>
  <si>
    <t>Zařízení č.4: Chlazení Herny</t>
  </si>
  <si>
    <t>Čerpadlo kondenzátu</t>
  </si>
  <si>
    <t>Konzole pro umístění kondenzační jednotky na střechu</t>
  </si>
  <si>
    <t>Zařízení č.5: Chlazení jídelny</t>
  </si>
  <si>
    <t>Položky č.6: Dodávka topné vody</t>
  </si>
  <si>
    <t>Přeložení zádobníku TV</t>
  </si>
  <si>
    <t>přeložení expanzních nádob</t>
  </si>
  <si>
    <t>Trubka PEX-AL-PEX s izolací 20x2 mm</t>
  </si>
  <si>
    <t>Trubka PEX-AL-PEX s izolací 32x2 mm</t>
  </si>
  <si>
    <t>Oběhové čerpadlo Q= 1m2/hod Pd=10 m</t>
  </si>
  <si>
    <t>Úprava MaR</t>
  </si>
  <si>
    <t>Pomocné konstrukce, objímky, konzlole, chráničky potrubí</t>
  </si>
  <si>
    <t>Položky č.7: Část ostatní položky</t>
  </si>
  <si>
    <t>Pomocné konstrukce, objímky, konzlole, chráničky potrubí, hydroizolační zatmelení</t>
  </si>
  <si>
    <t>Drobný a pomocný materiál</t>
  </si>
  <si>
    <t>Přesun hmot</t>
  </si>
  <si>
    <t>hod</t>
  </si>
  <si>
    <t xml:space="preserve">Vyregulování a uvedení do provozu (5 hod práce) </t>
  </si>
  <si>
    <t>Provozní zkoušky (10 hod práce)</t>
  </si>
  <si>
    <t>Revize</t>
  </si>
  <si>
    <t>Zaměření stavby, technická příprava, dokumentace skutečného provedení</t>
  </si>
  <si>
    <t>Lešení a pomocné plošiny</t>
  </si>
  <si>
    <t>demontáž stávajícího zařízení</t>
  </si>
  <si>
    <t>Celkem část VZT  (bez DPH)</t>
  </si>
  <si>
    <t>Kondenzační jednotka pro chlazení ve vzduchotechnické jednotce, chladící výkon 3.5 kW, napájení 400V, chladivo R410a, invertor</t>
  </si>
  <si>
    <t>Kondenzační jednotka pro chlazení ve vzduchotechnické jednotce, chladicí výkon 20 kW, napájení 400V, chladivo R410a, invertor</t>
  </si>
  <si>
    <t xml:space="preserve">Kondenzační jednotka MULTISPLIT, chladící výkon 10.6 kW, elektrický příkon 3.6 kW, provozní proud 16 A </t>
  </si>
  <si>
    <t>Nástěnná jednotka  MULTISPLIT pro chlazení systém, chladící výkon 3,5kW, chladivo R410a, ovladač</t>
  </si>
  <si>
    <t xml:space="preserve">Kondenzační jednotka SPLIT, chladicí výkon 3.7 kW, elektrický příkon 1.6 kW, provozní proud 7.1 A </t>
  </si>
  <si>
    <t>Nástěnná jednotka SPLIT pro chlazení systém, chladící výkon 3,5kW, chladivo R410a, ovladač</t>
  </si>
  <si>
    <t xml:space="preserve">Kompaktní vzduchotechnická jednotka 1500 - ve vnitřním provedení, ventilátory volná oběžná kola, akustický plášť 40mm ve složení: přívodní část filtrační komora s kapsovým filtrem F5, deskový rekuperační výměník s účinností min. 90% (venkovní vzduchu -15st.C odsávaný 22st.C), vodní dohřívač 4kW (se směšovacím uzlem), voda 70/50st.C dpw do 5kPa, přímý chladič 1x4kW, R410a, ventilátor přívodu vzduchu V=1200m3/hod. dpext=300Pa elektromotor do 0,2kW. Odvodní část filtrační komora s kapsovým filtrem G4, rotační rekuperační výměník, ventilátor odvodu vzduchu V=1150m3/hod. dpext=300Pa, elektromotor do 0.2kW. Příslušenství, manžety, těsné uzavírací klapky, rám, opravné servisní vypínače, sifon. Jednotku na stavbu dodat v polorozebraném stavu - stěhovací otvor 0,8x1,50m. Šéfmontáž a zprovoznění jednotky odborným zástupcem výrobce. Maximální rozměry jednotky 1800x2600x445mm (omezený prostor na chodbě), hladina akustického tlaku 1m od jednotky do 55 dB(A) </t>
  </si>
  <si>
    <t xml:space="preserve">Kompaktní vzduchotechnická jednotka 1500 - ve vnitřním provedení, ventilátory volná oběžná kola, akustický plášť 40mm ve složení: přívodní část filtrační komora s kapsovým filtrem F5, deskový rekuperační výměník s účinností min. 93% (venkovní vzduchu -15st.C odsávaný 22st.C), vodní dohřívač 4kW (se směšovacím uzlem), voda 70/50st.C dpw do 5kPa, přímý chladič 1x4kW, R410a, ventilátor přívodu vzduchu V=850m3/hod. dpext=300Pa elektromotor do 0,2kW. Odvodní část filtrační komora s kapsovým filtrem G4, rotační rekuperační výměník, ventilátor odvodu vzduchu V=800m3/hod. dpext=300Pa, elektromotor do 0.2kW. Příslušenství, manžety, těsné uzavírací klapky, rám, opravné servisní vypínače, sifon. Jednotku na stavbu dodat v polorozebraném stavu - stěhovací otvor 0,8x1,50m. Šéfmontáž a zprovoznění jednotky odborným zástupcem výrobce. Maximální rozměry jednotky 1800x2600x445mm (omezený prostor na chodbě), hladina akustického tlaku 1m od jednotky do 55 dB(A) </t>
  </si>
  <si>
    <t xml:space="preserve">Kompaktní vzduchotechnická jednotka 6500 - ve vnitřním provedení, ventilátory volná oběžná kola, akustický plášť 40mm ve složení: přívodní část filtrační komora s kapsovým filtrem F5, deskový rekuperační výměník s účinností min. 91% (venkovní vzduchu -15st.C odsávaný 22st.C), vodní dohřívač 15kW (se směšovacím uzlem), voda 70/50st.C dpw do 5kPa, přímý chladič 2x20kW, R410a, ventilátor přívodu vzduchu V=6.000 m3/hod. dpext=300Pa elektromotor do 3.3kW. Odvodní část filtrační komora s tukovým a kapsovým filtrem G4, rotační rekuperační výměník, ventilátor odvodu vzduchu V=6.500 m3/hod. dpext=400Pa, elektromotor do 3.3kW. Příslušenství, manžety, těsné uzavírací klapky, rám, opravné servisní vypínače, sifon. Jednotku na stavbu dodat v polorozebraném stavu - stěhovací otvor 1.6x1,95m. Šéfmontáž a zprovoznění jednotky odborným zástupcem výrobce. Maximální rozměry jednotky 1800x2800x1295mm (omezený prostor ve strojovně), hladina akustického tlaku 1m od jednotky do 55 dB(A)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</si>
</sst>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\ ###\ ##0;#\ ###\ ##0;"/>
    <numFmt numFmtId="167" formatCode="##\ ###\ ##0;##\ ###\ ##0;"/>
    <numFmt numFmtId="168" formatCode="000000000"/>
    <numFmt numFmtId="169" formatCode="#\ ###\ ###"/>
    <numFmt numFmtId="170" formatCode="0.000;0.000;"/>
    <numFmt numFmtId="171" formatCode="0.00;0.00;"/>
    <numFmt numFmtId="172" formatCode="#\ ###\ ##0.00"/>
    <numFmt numFmtId="173" formatCode="#\ ###\ ##0"/>
    <numFmt numFmtId="174" formatCode="0.0"/>
    <numFmt numFmtId="175" formatCode="[$-405]dddd\ d\.\ mmmm\ yyyy"/>
  </numFmts>
  <fonts count="7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.HelveticaTTEE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6"/>
      <color theme="1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2"/>
      <color theme="1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51" fillId="0" borderId="0">
      <alignment/>
      <protection/>
    </xf>
    <xf numFmtId="0" fontId="21" fillId="0" borderId="0">
      <alignment/>
      <protection/>
    </xf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36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4" fillId="33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9" fillId="0" borderId="2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9" fontId="9" fillId="0" borderId="27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9" fillId="0" borderId="27" xfId="0" applyNumberFormat="1" applyFont="1" applyFill="1" applyBorder="1" applyAlignment="1" applyProtection="1">
      <alignment horizontal="right" vertical="center"/>
      <protection/>
    </xf>
    <xf numFmtId="49" fontId="1" fillId="0" borderId="28" xfId="0" applyNumberFormat="1" applyFont="1" applyFill="1" applyBorder="1" applyAlignment="1" applyProtection="1">
      <alignment vertical="center"/>
      <protection/>
    </xf>
    <xf numFmtId="49" fontId="9" fillId="0" borderId="29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9" fontId="9" fillId="0" borderId="32" xfId="0" applyNumberFormat="1" applyFont="1" applyFill="1" applyBorder="1" applyAlignment="1" applyProtection="1">
      <alignment vertical="center"/>
      <protection/>
    </xf>
    <xf numFmtId="49" fontId="1" fillId="0" borderId="33" xfId="0" applyNumberFormat="1" applyFont="1" applyFill="1" applyBorder="1" applyAlignment="1" applyProtection="1">
      <alignment vertical="center"/>
      <protection/>
    </xf>
    <xf numFmtId="49" fontId="11" fillId="34" borderId="18" xfId="0" applyNumberFormat="1" applyFont="1" applyFill="1" applyBorder="1" applyAlignment="1" applyProtection="1">
      <alignment vertical="center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9" fillId="0" borderId="28" xfId="0" applyNumberFormat="1" applyFont="1" applyFill="1" applyBorder="1" applyAlignment="1" applyProtection="1">
      <alignment vertical="center"/>
      <protection/>
    </xf>
    <xf numFmtId="49" fontId="1" fillId="0" borderId="29" xfId="0" applyNumberFormat="1" applyFont="1" applyFill="1" applyBorder="1" applyAlignment="1" applyProtection="1">
      <alignment vertical="center"/>
      <protection/>
    </xf>
    <xf numFmtId="49" fontId="14" fillId="34" borderId="18" xfId="0" applyNumberFormat="1" applyFont="1" applyFill="1" applyBorder="1" applyAlignment="1" applyProtection="1">
      <alignment vertical="center"/>
      <protection/>
    </xf>
    <xf numFmtId="49" fontId="15" fillId="35" borderId="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8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horizontal="right" vertical="center"/>
      <protection/>
    </xf>
    <xf numFmtId="4" fontId="14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68" fillId="0" borderId="0" xfId="45" applyFont="1">
      <alignment/>
      <protection/>
    </xf>
    <xf numFmtId="0" fontId="69" fillId="0" borderId="0" xfId="45" applyFont="1" quotePrefix="1">
      <alignment/>
      <protection/>
    </xf>
    <xf numFmtId="0" fontId="70" fillId="0" borderId="0" xfId="45" applyFont="1" applyAlignment="1">
      <alignment vertical="top"/>
      <protection/>
    </xf>
    <xf numFmtId="0" fontId="68" fillId="0" borderId="38" xfId="45" applyFont="1" applyBorder="1" applyAlignment="1">
      <alignment horizontal="right"/>
      <protection/>
    </xf>
    <xf numFmtId="0" fontId="71" fillId="0" borderId="0" xfId="45" applyFont="1">
      <alignment/>
      <protection/>
    </xf>
    <xf numFmtId="49" fontId="71" fillId="0" borderId="0" xfId="45" applyNumberFormat="1" applyFont="1">
      <alignment/>
      <protection/>
    </xf>
    <xf numFmtId="2" fontId="71" fillId="0" borderId="0" xfId="45" applyNumberFormat="1" applyFont="1">
      <alignment/>
      <protection/>
    </xf>
    <xf numFmtId="166" fontId="71" fillId="0" borderId="0" xfId="45" applyNumberFormat="1" applyFont="1">
      <alignment/>
      <protection/>
    </xf>
    <xf numFmtId="167" fontId="71" fillId="36" borderId="0" xfId="45" applyNumberFormat="1" applyFont="1" applyFill="1">
      <alignment/>
      <protection/>
    </xf>
    <xf numFmtId="167" fontId="71" fillId="37" borderId="0" xfId="45" applyNumberFormat="1" applyFont="1" applyFill="1">
      <alignment/>
      <protection/>
    </xf>
    <xf numFmtId="167" fontId="68" fillId="0" borderId="0" xfId="45" applyNumberFormat="1" applyFont="1">
      <alignment/>
      <protection/>
    </xf>
    <xf numFmtId="0" fontId="71" fillId="0" borderId="16" xfId="45" applyFont="1" applyBorder="1">
      <alignment/>
      <protection/>
    </xf>
    <xf numFmtId="49" fontId="71" fillId="0" borderId="16" xfId="45" applyNumberFormat="1" applyFont="1" applyBorder="1">
      <alignment/>
      <protection/>
    </xf>
    <xf numFmtId="2" fontId="71" fillId="0" borderId="16" xfId="45" applyNumberFormat="1" applyFont="1" applyBorder="1">
      <alignment/>
      <protection/>
    </xf>
    <xf numFmtId="166" fontId="71" fillId="0" borderId="16" xfId="45" applyNumberFormat="1" applyFont="1" applyBorder="1">
      <alignment/>
      <protection/>
    </xf>
    <xf numFmtId="167" fontId="71" fillId="0" borderId="16" xfId="45" applyNumberFormat="1" applyFont="1" applyBorder="1">
      <alignment/>
      <protection/>
    </xf>
    <xf numFmtId="167" fontId="71" fillId="0" borderId="0" xfId="45" applyNumberFormat="1" applyFont="1">
      <alignment/>
      <protection/>
    </xf>
    <xf numFmtId="0" fontId="71" fillId="0" borderId="0" xfId="45" applyFont="1" applyBorder="1">
      <alignment/>
      <protection/>
    </xf>
    <xf numFmtId="49" fontId="71" fillId="0" borderId="0" xfId="45" applyNumberFormat="1" applyFont="1" applyBorder="1">
      <alignment/>
      <protection/>
    </xf>
    <xf numFmtId="2" fontId="71" fillId="0" borderId="0" xfId="45" applyNumberFormat="1" applyFont="1" applyBorder="1">
      <alignment/>
      <protection/>
    </xf>
    <xf numFmtId="166" fontId="71" fillId="0" borderId="0" xfId="45" applyNumberFormat="1" applyFont="1" applyBorder="1">
      <alignment/>
      <protection/>
    </xf>
    <xf numFmtId="167" fontId="71" fillId="0" borderId="0" xfId="45" applyNumberFormat="1" applyFont="1" applyBorder="1">
      <alignment/>
      <protection/>
    </xf>
    <xf numFmtId="0" fontId="72" fillId="0" borderId="18" xfId="45" applyFont="1" applyBorder="1">
      <alignment/>
      <protection/>
    </xf>
    <xf numFmtId="49" fontId="72" fillId="0" borderId="18" xfId="45" applyNumberFormat="1" applyFont="1" applyBorder="1">
      <alignment/>
      <protection/>
    </xf>
    <xf numFmtId="2" fontId="72" fillId="0" borderId="18" xfId="45" applyNumberFormat="1" applyFont="1" applyBorder="1">
      <alignment/>
      <protection/>
    </xf>
    <xf numFmtId="166" fontId="72" fillId="0" borderId="18" xfId="45" applyNumberFormat="1" applyFont="1" applyBorder="1">
      <alignment/>
      <protection/>
    </xf>
    <xf numFmtId="167" fontId="72" fillId="0" borderId="18" xfId="45" applyNumberFormat="1" applyFont="1" applyBorder="1">
      <alignment/>
      <protection/>
    </xf>
    <xf numFmtId="2" fontId="68" fillId="0" borderId="0" xfId="45" applyNumberFormat="1" applyFont="1">
      <alignment/>
      <protection/>
    </xf>
    <xf numFmtId="166" fontId="68" fillId="0" borderId="0" xfId="45" applyNumberFormat="1" applyFont="1">
      <alignment/>
      <protection/>
    </xf>
    <xf numFmtId="0" fontId="18" fillId="0" borderId="0" xfId="45" applyFont="1" applyFill="1" applyBorder="1">
      <alignment/>
      <protection/>
    </xf>
    <xf numFmtId="4" fontId="19" fillId="36" borderId="27" xfId="45" applyNumberFormat="1" applyFont="1" applyFill="1" applyBorder="1" applyAlignment="1" applyProtection="1">
      <alignment/>
      <protection/>
    </xf>
    <xf numFmtId="0" fontId="18" fillId="0" borderId="0" xfId="45" applyFont="1" applyBorder="1" applyProtection="1">
      <alignment/>
      <protection locked="0"/>
    </xf>
    <xf numFmtId="4" fontId="19" fillId="37" borderId="27" xfId="45" applyNumberFormat="1" applyFont="1" applyFill="1" applyBorder="1" applyAlignment="1" applyProtection="1">
      <alignment/>
      <protection/>
    </xf>
    <xf numFmtId="0" fontId="20" fillId="38" borderId="27" xfId="45" applyFont="1" applyFill="1" applyBorder="1">
      <alignment/>
      <protection/>
    </xf>
    <xf numFmtId="4" fontId="20" fillId="38" borderId="27" xfId="45" applyNumberFormat="1" applyFont="1" applyFill="1" applyBorder="1" applyAlignment="1">
      <alignment horizontal="right"/>
      <protection/>
    </xf>
    <xf numFmtId="0" fontId="72" fillId="0" borderId="0" xfId="45" applyFont="1">
      <alignment/>
      <protection/>
    </xf>
    <xf numFmtId="0" fontId="72" fillId="0" borderId="0" xfId="45" applyFont="1" quotePrefix="1">
      <alignment/>
      <protection/>
    </xf>
    <xf numFmtId="0" fontId="72" fillId="0" borderId="0" xfId="45" applyFont="1" applyAlignment="1">
      <alignment horizontal="center"/>
      <protection/>
    </xf>
    <xf numFmtId="0" fontId="70" fillId="0" borderId="0" xfId="45" applyFont="1" applyAlignment="1">
      <alignment vertical="center"/>
      <protection/>
    </xf>
    <xf numFmtId="0" fontId="70" fillId="0" borderId="0" xfId="45" applyFont="1" applyAlignment="1">
      <alignment horizontal="center" vertical="center"/>
      <protection/>
    </xf>
    <xf numFmtId="0" fontId="68" fillId="0" borderId="38" xfId="45" applyFont="1" applyBorder="1">
      <alignment/>
      <protection/>
    </xf>
    <xf numFmtId="168" fontId="68" fillId="0" borderId="38" xfId="45" applyNumberFormat="1" applyFont="1" applyBorder="1">
      <alignment/>
      <protection/>
    </xf>
    <xf numFmtId="2" fontId="68" fillId="0" borderId="38" xfId="45" applyNumberFormat="1" applyFont="1" applyBorder="1">
      <alignment/>
      <protection/>
    </xf>
    <xf numFmtId="169" fontId="68" fillId="0" borderId="38" xfId="45" applyNumberFormat="1" applyFont="1" applyBorder="1">
      <alignment/>
      <protection/>
    </xf>
    <xf numFmtId="170" fontId="68" fillId="0" borderId="38" xfId="45" applyNumberFormat="1" applyFont="1" applyBorder="1">
      <alignment/>
      <protection/>
    </xf>
    <xf numFmtId="171" fontId="68" fillId="0" borderId="38" xfId="45" applyNumberFormat="1" applyFont="1" applyBorder="1">
      <alignment/>
      <protection/>
    </xf>
    <xf numFmtId="0" fontId="68" fillId="0" borderId="38" xfId="45" applyFont="1" applyBorder="1" applyAlignment="1">
      <alignment horizontal="center"/>
      <protection/>
    </xf>
    <xf numFmtId="0" fontId="73" fillId="0" borderId="0" xfId="45" applyFont="1">
      <alignment/>
      <protection/>
    </xf>
    <xf numFmtId="168" fontId="73" fillId="0" borderId="0" xfId="45" applyNumberFormat="1" applyFont="1">
      <alignment/>
      <protection/>
    </xf>
    <xf numFmtId="2" fontId="73" fillId="0" borderId="0" xfId="45" applyNumberFormat="1" applyFont="1">
      <alignment/>
      <protection/>
    </xf>
    <xf numFmtId="169" fontId="73" fillId="0" borderId="0" xfId="45" applyNumberFormat="1" applyFont="1">
      <alignment/>
      <protection/>
    </xf>
    <xf numFmtId="170" fontId="73" fillId="0" borderId="0" xfId="45" applyNumberFormat="1" applyFont="1">
      <alignment/>
      <protection/>
    </xf>
    <xf numFmtId="171" fontId="73" fillId="0" borderId="0" xfId="45" applyNumberFormat="1" applyFont="1">
      <alignment/>
      <protection/>
    </xf>
    <xf numFmtId="0" fontId="73" fillId="0" borderId="0" xfId="45" applyFont="1" applyAlignment="1">
      <alignment horizontal="center"/>
      <protection/>
    </xf>
    <xf numFmtId="0" fontId="68" fillId="0" borderId="10" xfId="45" applyFont="1" applyBorder="1">
      <alignment/>
      <protection/>
    </xf>
    <xf numFmtId="168" fontId="68" fillId="0" borderId="10" xfId="45" applyNumberFormat="1" applyFont="1" applyBorder="1">
      <alignment/>
      <protection/>
    </xf>
    <xf numFmtId="49" fontId="68" fillId="0" borderId="10" xfId="45" applyNumberFormat="1" applyFont="1" applyBorder="1">
      <alignment/>
      <protection/>
    </xf>
    <xf numFmtId="2" fontId="68" fillId="0" borderId="10" xfId="45" applyNumberFormat="1" applyFont="1" applyBorder="1">
      <alignment/>
      <protection/>
    </xf>
    <xf numFmtId="169" fontId="68" fillId="0" borderId="10" xfId="45" applyNumberFormat="1" applyFont="1" applyBorder="1">
      <alignment/>
      <protection/>
    </xf>
    <xf numFmtId="170" fontId="68" fillId="0" borderId="10" xfId="45" applyNumberFormat="1" applyFont="1" applyBorder="1">
      <alignment/>
      <protection/>
    </xf>
    <xf numFmtId="171" fontId="68" fillId="0" borderId="10" xfId="45" applyNumberFormat="1" applyFont="1" applyBorder="1">
      <alignment/>
      <protection/>
    </xf>
    <xf numFmtId="49" fontId="68" fillId="0" borderId="10" xfId="45" applyNumberFormat="1" applyFont="1" applyBorder="1" applyAlignment="1">
      <alignment horizontal="center"/>
      <protection/>
    </xf>
    <xf numFmtId="49" fontId="68" fillId="0" borderId="0" xfId="45" applyNumberFormat="1" applyFont="1">
      <alignment/>
      <protection/>
    </xf>
    <xf numFmtId="0" fontId="69" fillId="0" borderId="0" xfId="45" applyFont="1">
      <alignment/>
      <protection/>
    </xf>
    <xf numFmtId="168" fontId="69" fillId="0" borderId="0" xfId="45" applyNumberFormat="1" applyFont="1">
      <alignment/>
      <protection/>
    </xf>
    <xf numFmtId="49" fontId="69" fillId="0" borderId="0" xfId="45" applyNumberFormat="1" applyFont="1">
      <alignment/>
      <protection/>
    </xf>
    <xf numFmtId="2" fontId="69" fillId="0" borderId="0" xfId="45" applyNumberFormat="1" applyFont="1">
      <alignment/>
      <protection/>
    </xf>
    <xf numFmtId="169" fontId="69" fillId="0" borderId="0" xfId="45" applyNumberFormat="1" applyFont="1">
      <alignment/>
      <protection/>
    </xf>
    <xf numFmtId="170" fontId="69" fillId="0" borderId="0" xfId="45" applyNumberFormat="1" applyFont="1">
      <alignment/>
      <protection/>
    </xf>
    <xf numFmtId="171" fontId="69" fillId="0" borderId="0" xfId="45" applyNumberFormat="1" applyFont="1">
      <alignment/>
      <protection/>
    </xf>
    <xf numFmtId="49" fontId="69" fillId="0" borderId="0" xfId="45" applyNumberFormat="1" applyFont="1" applyAlignment="1">
      <alignment horizontal="center"/>
      <protection/>
    </xf>
    <xf numFmtId="49" fontId="73" fillId="0" borderId="0" xfId="45" applyNumberFormat="1" applyFont="1">
      <alignment/>
      <protection/>
    </xf>
    <xf numFmtId="49" fontId="73" fillId="0" borderId="0" xfId="45" applyNumberFormat="1" applyFont="1" applyAlignment="1">
      <alignment horizontal="center"/>
      <protection/>
    </xf>
    <xf numFmtId="168" fontId="68" fillId="0" borderId="0" xfId="45" applyNumberFormat="1" applyFont="1">
      <alignment/>
      <protection/>
    </xf>
    <xf numFmtId="169" fontId="68" fillId="0" borderId="0" xfId="45" applyNumberFormat="1" applyFont="1">
      <alignment/>
      <protection/>
    </xf>
    <xf numFmtId="170" fontId="68" fillId="0" borderId="0" xfId="45" applyNumberFormat="1" applyFont="1">
      <alignment/>
      <protection/>
    </xf>
    <xf numFmtId="171" fontId="68" fillId="0" borderId="0" xfId="45" applyNumberFormat="1" applyFont="1">
      <alignment/>
      <protection/>
    </xf>
    <xf numFmtId="49" fontId="68" fillId="0" borderId="0" xfId="45" applyNumberFormat="1" applyFont="1" applyAlignment="1">
      <alignment horizontal="center"/>
      <protection/>
    </xf>
    <xf numFmtId="0" fontId="69" fillId="0" borderId="0" xfId="45" applyFont="1" applyAlignment="1">
      <alignment horizontal="center"/>
      <protection/>
    </xf>
    <xf numFmtId="0" fontId="68" fillId="0" borderId="0" xfId="45" applyFont="1" applyAlignment="1">
      <alignment horizontal="center"/>
      <protection/>
    </xf>
    <xf numFmtId="0" fontId="51" fillId="0" borderId="0" xfId="45">
      <alignment/>
      <protection/>
    </xf>
    <xf numFmtId="172" fontId="71" fillId="0" borderId="0" xfId="45" applyNumberFormat="1" applyFont="1">
      <alignment/>
      <protection/>
    </xf>
    <xf numFmtId="169" fontId="71" fillId="0" borderId="0" xfId="45" applyNumberFormat="1" applyFont="1">
      <alignment/>
      <protection/>
    </xf>
    <xf numFmtId="173" fontId="71" fillId="0" borderId="0" xfId="45" applyNumberFormat="1" applyFont="1">
      <alignment/>
      <protection/>
    </xf>
    <xf numFmtId="10" fontId="71" fillId="0" borderId="0" xfId="45" applyNumberFormat="1" applyFont="1">
      <alignment/>
      <protection/>
    </xf>
    <xf numFmtId="172" fontId="71" fillId="0" borderId="16" xfId="45" applyNumberFormat="1" applyFont="1" applyBorder="1">
      <alignment/>
      <protection/>
    </xf>
    <xf numFmtId="169" fontId="71" fillId="0" borderId="16" xfId="45" applyNumberFormat="1" applyFont="1" applyBorder="1">
      <alignment/>
      <protection/>
    </xf>
    <xf numFmtId="173" fontId="71" fillId="0" borderId="16" xfId="45" applyNumberFormat="1" applyFont="1" applyBorder="1">
      <alignment/>
      <protection/>
    </xf>
    <xf numFmtId="172" fontId="71" fillId="0" borderId="0" xfId="45" applyNumberFormat="1" applyFont="1" applyBorder="1">
      <alignment/>
      <protection/>
    </xf>
    <xf numFmtId="169" fontId="71" fillId="0" borderId="0" xfId="45" applyNumberFormat="1" applyFont="1" applyBorder="1">
      <alignment/>
      <protection/>
    </xf>
    <xf numFmtId="173" fontId="71" fillId="0" borderId="0" xfId="45" applyNumberFormat="1" applyFont="1" applyBorder="1">
      <alignment/>
      <protection/>
    </xf>
    <xf numFmtId="172" fontId="72" fillId="0" borderId="18" xfId="45" applyNumberFormat="1" applyFont="1" applyBorder="1">
      <alignment/>
      <protection/>
    </xf>
    <xf numFmtId="169" fontId="72" fillId="0" borderId="18" xfId="45" applyNumberFormat="1" applyFont="1" applyBorder="1">
      <alignment/>
      <protection/>
    </xf>
    <xf numFmtId="173" fontId="72" fillId="0" borderId="18" xfId="45" applyNumberFormat="1" applyFont="1" applyBorder="1">
      <alignment/>
      <protection/>
    </xf>
    <xf numFmtId="172" fontId="68" fillId="0" borderId="0" xfId="45" applyNumberFormat="1" applyFont="1">
      <alignment/>
      <protection/>
    </xf>
    <xf numFmtId="173" fontId="68" fillId="0" borderId="0" xfId="45" applyNumberFormat="1" applyFont="1">
      <alignment/>
      <protection/>
    </xf>
    <xf numFmtId="4" fontId="13" fillId="39" borderId="0" xfId="0" applyNumberFormat="1" applyFont="1" applyFill="1" applyBorder="1" applyAlignment="1" applyProtection="1">
      <alignment horizontal="right" vertical="center"/>
      <protection/>
    </xf>
    <xf numFmtId="0" fontId="18" fillId="0" borderId="0" xfId="46" applyFont="1">
      <alignment/>
      <protection/>
    </xf>
    <xf numFmtId="0" fontId="18" fillId="40" borderId="39" xfId="46" applyFont="1" applyFill="1" applyBorder="1" applyAlignment="1" applyProtection="1">
      <alignment horizontal="center"/>
      <protection locked="0"/>
    </xf>
    <xf numFmtId="0" fontId="22" fillId="40" borderId="18" xfId="46" applyFont="1" applyFill="1" applyBorder="1" applyAlignment="1" applyProtection="1">
      <alignment horizontal="center" vertical="center"/>
      <protection locked="0"/>
    </xf>
    <xf numFmtId="0" fontId="18" fillId="40" borderId="40" xfId="46" applyFont="1" applyFill="1" applyBorder="1" applyAlignment="1" applyProtection="1">
      <alignment horizontal="center" vertical="center"/>
      <protection locked="0"/>
    </xf>
    <xf numFmtId="0" fontId="18" fillId="40" borderId="18" xfId="46" applyFont="1" applyFill="1" applyBorder="1" applyAlignment="1" applyProtection="1">
      <alignment horizontal="center"/>
      <protection locked="0"/>
    </xf>
    <xf numFmtId="0" fontId="18" fillId="0" borderId="39" xfId="46" applyFont="1" applyBorder="1" applyAlignment="1" applyProtection="1">
      <alignment horizontal="center"/>
      <protection locked="0"/>
    </xf>
    <xf numFmtId="1" fontId="18" fillId="0" borderId="40" xfId="46" applyNumberFormat="1" applyFont="1" applyBorder="1">
      <alignment/>
      <protection/>
    </xf>
    <xf numFmtId="1" fontId="18" fillId="40" borderId="18" xfId="46" applyNumberFormat="1" applyFont="1" applyFill="1" applyBorder="1" applyAlignment="1" applyProtection="1">
      <alignment horizontal="center"/>
      <protection/>
    </xf>
    <xf numFmtId="49" fontId="19" fillId="0" borderId="27" xfId="46" applyNumberFormat="1" applyFont="1" applyBorder="1" applyAlignment="1">
      <alignment horizontal="center"/>
      <protection/>
    </xf>
    <xf numFmtId="0" fontId="19" fillId="40" borderId="41" xfId="46" applyFont="1" applyFill="1" applyBorder="1" applyAlignment="1" applyProtection="1">
      <alignment horizontal="center" vertical="center"/>
      <protection locked="0"/>
    </xf>
    <xf numFmtId="0" fontId="19" fillId="40" borderId="24" xfId="46" applyFont="1" applyFill="1" applyBorder="1" applyAlignment="1" applyProtection="1">
      <alignment horizontal="center" vertical="center"/>
      <protection locked="0"/>
    </xf>
    <xf numFmtId="0" fontId="19" fillId="40" borderId="42" xfId="46" applyFont="1" applyFill="1" applyBorder="1" applyAlignment="1" applyProtection="1">
      <alignment horizontal="center" vertical="center"/>
      <protection locked="0"/>
    </xf>
    <xf numFmtId="0" fontId="18" fillId="40" borderId="0" xfId="46" applyFont="1" applyFill="1" applyBorder="1" applyAlignment="1" applyProtection="1">
      <alignment horizontal="center"/>
      <protection locked="0"/>
    </xf>
    <xf numFmtId="1" fontId="18" fillId="40" borderId="0" xfId="46" applyNumberFormat="1" applyFont="1" applyFill="1" applyBorder="1" applyAlignment="1" applyProtection="1">
      <alignment horizontal="center"/>
      <protection/>
    </xf>
    <xf numFmtId="49" fontId="18" fillId="40" borderId="40" xfId="46" applyNumberFormat="1" applyFont="1" applyFill="1" applyBorder="1" applyAlignment="1">
      <alignment horizontal="center"/>
      <protection/>
    </xf>
    <xf numFmtId="0" fontId="18" fillId="40" borderId="43" xfId="46" applyFont="1" applyFill="1" applyBorder="1" applyAlignment="1" applyProtection="1">
      <alignment horizontal="center"/>
      <protection locked="0"/>
    </xf>
    <xf numFmtId="0" fontId="18" fillId="40" borderId="10" xfId="46" applyFont="1" applyFill="1" applyBorder="1" applyProtection="1">
      <alignment/>
      <protection locked="0"/>
    </xf>
    <xf numFmtId="0" fontId="18" fillId="40" borderId="10" xfId="46" applyFont="1" applyFill="1" applyBorder="1" applyAlignment="1" applyProtection="1">
      <alignment horizontal="center"/>
      <protection locked="0"/>
    </xf>
    <xf numFmtId="1" fontId="18" fillId="40" borderId="10" xfId="46" applyNumberFormat="1" applyFont="1" applyFill="1" applyBorder="1">
      <alignment/>
      <protection/>
    </xf>
    <xf numFmtId="1" fontId="18" fillId="40" borderId="10" xfId="46" applyNumberFormat="1" applyFont="1" applyFill="1" applyBorder="1" applyProtection="1">
      <alignment/>
      <protection/>
    </xf>
    <xf numFmtId="1" fontId="18" fillId="40" borderId="44" xfId="46" applyNumberFormat="1" applyFont="1" applyFill="1" applyBorder="1">
      <alignment/>
      <protection/>
    </xf>
    <xf numFmtId="0" fontId="24" fillId="40" borderId="21" xfId="46" applyFont="1" applyFill="1" applyBorder="1" applyAlignment="1" applyProtection="1">
      <alignment horizontal="center" vertical="center"/>
      <protection/>
    </xf>
    <xf numFmtId="0" fontId="24" fillId="40" borderId="11" xfId="46" applyFont="1" applyFill="1" applyBorder="1" applyAlignment="1" applyProtection="1">
      <alignment horizontal="center" vertical="center"/>
      <protection/>
    </xf>
    <xf numFmtId="1" fontId="24" fillId="40" borderId="11" xfId="46" applyNumberFormat="1" applyFont="1" applyFill="1" applyBorder="1" applyAlignment="1" applyProtection="1">
      <alignment horizontal="center" vertical="center"/>
      <protection/>
    </xf>
    <xf numFmtId="1" fontId="24" fillId="40" borderId="45" xfId="46" applyNumberFormat="1" applyFont="1" applyFill="1" applyBorder="1" applyAlignment="1" applyProtection="1">
      <alignment horizontal="center" vertical="center"/>
      <protection/>
    </xf>
    <xf numFmtId="0" fontId="24" fillId="0" borderId="0" xfId="46" applyFont="1">
      <alignment/>
      <protection/>
    </xf>
    <xf numFmtId="0" fontId="24" fillId="40" borderId="43" xfId="46" applyFont="1" applyFill="1" applyBorder="1" applyAlignment="1" applyProtection="1">
      <alignment horizontal="center" vertical="center"/>
      <protection/>
    </xf>
    <xf numFmtId="0" fontId="24" fillId="40" borderId="12" xfId="46" applyFont="1" applyFill="1" applyBorder="1" applyAlignment="1" applyProtection="1">
      <alignment horizontal="center" vertical="center"/>
      <protection/>
    </xf>
    <xf numFmtId="1" fontId="24" fillId="40" borderId="12" xfId="46" applyNumberFormat="1" applyFont="1" applyFill="1" applyBorder="1" applyAlignment="1" applyProtection="1">
      <alignment horizontal="center" vertical="center"/>
      <protection/>
    </xf>
    <xf numFmtId="1" fontId="24" fillId="40" borderId="46" xfId="46" applyNumberFormat="1" applyFont="1" applyFill="1" applyBorder="1" applyAlignment="1" applyProtection="1">
      <alignment horizontal="center" vertical="center"/>
      <protection/>
    </xf>
    <xf numFmtId="0" fontId="18" fillId="0" borderId="21" xfId="46" applyFont="1" applyBorder="1" applyAlignment="1">
      <alignment horizontal="center"/>
      <protection/>
    </xf>
    <xf numFmtId="0" fontId="25" fillId="0" borderId="0" xfId="46" applyFont="1" applyFill="1" applyBorder="1" applyProtection="1">
      <alignment/>
      <protection locked="0"/>
    </xf>
    <xf numFmtId="0" fontId="18" fillId="0" borderId="0" xfId="46" applyFont="1" applyBorder="1" applyProtection="1">
      <alignment/>
      <protection locked="0"/>
    </xf>
    <xf numFmtId="0" fontId="18" fillId="0" borderId="0" xfId="46" applyFont="1" applyBorder="1" applyAlignment="1" applyProtection="1">
      <alignment horizontal="center"/>
      <protection locked="0"/>
    </xf>
    <xf numFmtId="2" fontId="18" fillId="0" borderId="0" xfId="46" applyNumberFormat="1" applyFont="1" applyBorder="1" applyAlignment="1">
      <alignment horizontal="center"/>
      <protection/>
    </xf>
    <xf numFmtId="2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 applyAlignment="1" applyProtection="1">
      <alignment horizontal="right"/>
      <protection/>
    </xf>
    <xf numFmtId="2" fontId="18" fillId="0" borderId="47" xfId="46" applyNumberFormat="1" applyFont="1" applyBorder="1" applyAlignment="1">
      <alignment horizontal="right"/>
      <protection/>
    </xf>
    <xf numFmtId="174" fontId="18" fillId="0" borderId="0" xfId="46" applyNumberFormat="1" applyFont="1">
      <alignment/>
      <protection/>
    </xf>
    <xf numFmtId="0" fontId="18" fillId="0" borderId="21" xfId="46" applyNumberFormat="1" applyFont="1" applyBorder="1" applyAlignment="1">
      <alignment horizontal="center"/>
      <protection/>
    </xf>
    <xf numFmtId="1" fontId="18" fillId="0" borderId="0" xfId="46" applyNumberFormat="1" applyFont="1" applyBorder="1" applyAlignment="1">
      <alignment horizontal="center"/>
      <protection/>
    </xf>
    <xf numFmtId="1" fontId="18" fillId="0" borderId="0" xfId="46" applyNumberFormat="1" applyFont="1" applyBorder="1" applyAlignment="1">
      <alignment horizontal="right"/>
      <protection/>
    </xf>
    <xf numFmtId="1" fontId="18" fillId="0" borderId="47" xfId="46" applyNumberFormat="1" applyFont="1" applyBorder="1" applyAlignment="1">
      <alignment horizontal="right"/>
      <protection/>
    </xf>
    <xf numFmtId="0" fontId="18" fillId="0" borderId="0" xfId="46" applyFont="1" applyFill="1" applyBorder="1" applyAlignment="1" applyProtection="1">
      <alignment wrapText="1"/>
      <protection locked="0"/>
    </xf>
    <xf numFmtId="1" fontId="18" fillId="0" borderId="0" xfId="46" applyNumberFormat="1" applyFont="1" applyBorder="1" applyAlignment="1">
      <alignment/>
      <protection/>
    </xf>
    <xf numFmtId="4" fontId="18" fillId="0" borderId="0" xfId="46" applyNumberFormat="1" applyFont="1" applyBorder="1" applyAlignment="1" applyProtection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Fill="1" applyBorder="1" applyAlignment="1" applyProtection="1">
      <alignment horizontal="left" wrapText="1"/>
      <protection locked="0"/>
    </xf>
    <xf numFmtId="0" fontId="18" fillId="0" borderId="0" xfId="46" applyFont="1" applyFill="1" applyBorder="1" applyProtection="1">
      <alignment/>
      <protection locked="0"/>
    </xf>
    <xf numFmtId="0" fontId="18" fillId="0" borderId="0" xfId="46" applyFont="1" applyFill="1" applyBorder="1" applyAlignment="1" applyProtection="1">
      <alignment vertical="center" wrapText="1"/>
      <protection locked="0"/>
    </xf>
    <xf numFmtId="0" fontId="19" fillId="0" borderId="0" xfId="46" applyFont="1" applyFill="1" applyBorder="1" applyProtection="1">
      <alignment/>
      <protection locked="0"/>
    </xf>
    <xf numFmtId="4" fontId="19" fillId="36" borderId="0" xfId="46" applyNumberFormat="1" applyFont="1" applyFill="1" applyBorder="1" applyAlignment="1" applyProtection="1">
      <alignment/>
      <protection/>
    </xf>
    <xf numFmtId="0" fontId="19" fillId="0" borderId="0" xfId="46" applyFont="1" applyFill="1" applyBorder="1" applyAlignment="1" applyProtection="1">
      <alignment wrapText="1"/>
      <protection locked="0"/>
    </xf>
    <xf numFmtId="4" fontId="19" fillId="0" borderId="0" xfId="46" applyNumberFormat="1" applyFont="1" applyBorder="1" applyAlignment="1" applyProtection="1">
      <alignment/>
      <protection/>
    </xf>
    <xf numFmtId="0" fontId="18" fillId="0" borderId="0" xfId="46" applyFont="1" applyFill="1" applyBorder="1" applyAlignment="1" applyProtection="1">
      <alignment vertical="top" wrapText="1"/>
      <protection locked="0"/>
    </xf>
    <xf numFmtId="0" fontId="18" fillId="0" borderId="0" xfId="46" applyFont="1" applyFill="1" applyBorder="1" applyAlignment="1" applyProtection="1">
      <alignment vertical="top" wrapText="1"/>
      <protection locked="0"/>
    </xf>
    <xf numFmtId="0" fontId="18" fillId="0" borderId="0" xfId="46" applyFont="1" applyFill="1" applyBorder="1" applyProtection="1">
      <alignment/>
      <protection locked="0"/>
    </xf>
    <xf numFmtId="0" fontId="18" fillId="0" borderId="47" xfId="46" applyFont="1" applyBorder="1">
      <alignment/>
      <protection/>
    </xf>
    <xf numFmtId="0" fontId="18" fillId="0" borderId="0" xfId="46" applyFont="1" applyBorder="1">
      <alignment/>
      <protection/>
    </xf>
    <xf numFmtId="4" fontId="19" fillId="37" borderId="0" xfId="46" applyNumberFormat="1" applyFont="1" applyFill="1" applyBorder="1" applyAlignment="1" applyProtection="1">
      <alignment/>
      <protection/>
    </xf>
    <xf numFmtId="4" fontId="18" fillId="0" borderId="0" xfId="46" applyNumberFormat="1" applyFont="1" applyBorder="1" applyAlignment="1" applyProtection="1">
      <alignment horizontal="center"/>
      <protection/>
    </xf>
    <xf numFmtId="0" fontId="20" fillId="38" borderId="0" xfId="46" applyFont="1" applyFill="1" applyBorder="1">
      <alignment/>
      <protection/>
    </xf>
    <xf numFmtId="0" fontId="20" fillId="38" borderId="0" xfId="46" applyFont="1" applyFill="1" applyBorder="1" applyProtection="1">
      <alignment/>
      <protection locked="0"/>
    </xf>
    <xf numFmtId="0" fontId="20" fillId="38" borderId="0" xfId="46" applyFont="1" applyFill="1" applyBorder="1" applyAlignment="1" applyProtection="1">
      <alignment horizontal="center"/>
      <protection locked="0"/>
    </xf>
    <xf numFmtId="1" fontId="20" fillId="38" borderId="0" xfId="46" applyNumberFormat="1" applyFont="1" applyFill="1" applyBorder="1" applyAlignment="1">
      <alignment horizontal="center"/>
      <protection/>
    </xf>
    <xf numFmtId="2" fontId="20" fillId="38" borderId="0" xfId="46" applyNumberFormat="1" applyFont="1" applyFill="1" applyBorder="1" applyAlignment="1">
      <alignment horizontal="right"/>
      <protection/>
    </xf>
    <xf numFmtId="4" fontId="20" fillId="38" borderId="0" xfId="46" applyNumberFormat="1" applyFont="1" applyFill="1" applyBorder="1" applyAlignment="1">
      <alignment horizontal="right"/>
      <protection/>
    </xf>
    <xf numFmtId="0" fontId="26" fillId="0" borderId="0" xfId="46" applyFont="1" applyFill="1" applyBorder="1">
      <alignment/>
      <protection/>
    </xf>
    <xf numFmtId="0" fontId="20" fillId="0" borderId="0" xfId="46" applyFont="1" applyFill="1" applyBorder="1" applyProtection="1">
      <alignment/>
      <protection locked="0"/>
    </xf>
    <xf numFmtId="0" fontId="26" fillId="0" borderId="0" xfId="46" applyFont="1" applyFill="1" applyBorder="1" applyAlignment="1" applyProtection="1">
      <alignment horizontal="center"/>
      <protection locked="0"/>
    </xf>
    <xf numFmtId="1" fontId="20" fillId="0" borderId="0" xfId="46" applyNumberFormat="1" applyFont="1" applyFill="1" applyBorder="1" applyAlignment="1">
      <alignment horizontal="center"/>
      <protection/>
    </xf>
    <xf numFmtId="2" fontId="20" fillId="0" borderId="0" xfId="46" applyNumberFormat="1" applyFont="1" applyFill="1" applyBorder="1" applyAlignment="1">
      <alignment horizontal="right"/>
      <protection/>
    </xf>
    <xf numFmtId="4" fontId="26" fillId="0" borderId="0" xfId="46" applyNumberFormat="1" applyFont="1" applyFill="1" applyBorder="1" applyAlignment="1">
      <alignment horizontal="right"/>
      <protection/>
    </xf>
    <xf numFmtId="0" fontId="18" fillId="0" borderId="41" xfId="46" applyFont="1" applyBorder="1" applyAlignment="1">
      <alignment horizontal="center"/>
      <protection/>
    </xf>
    <xf numFmtId="0" fontId="18" fillId="0" borderId="24" xfId="46" applyFont="1" applyBorder="1">
      <alignment/>
      <protection/>
    </xf>
    <xf numFmtId="0" fontId="18" fillId="0" borderId="24" xfId="46" applyFont="1" applyBorder="1" applyAlignment="1">
      <alignment horizontal="center"/>
      <protection/>
    </xf>
    <xf numFmtId="4" fontId="18" fillId="0" borderId="24" xfId="46" applyNumberFormat="1" applyFont="1" applyBorder="1">
      <alignment/>
      <protection/>
    </xf>
    <xf numFmtId="1" fontId="18" fillId="0" borderId="42" xfId="46" applyNumberFormat="1" applyFont="1" applyBorder="1" applyAlignment="1">
      <alignment horizontal="right"/>
      <protection/>
    </xf>
    <xf numFmtId="0" fontId="18" fillId="0" borderId="0" xfId="46" applyNumberFormat="1" applyFont="1" applyBorder="1" applyAlignment="1">
      <alignment horizontal="center"/>
      <protection/>
    </xf>
    <xf numFmtId="0" fontId="20" fillId="0" borderId="0" xfId="46" applyFont="1" applyFill="1" applyBorder="1" applyAlignment="1" applyProtection="1">
      <alignment horizontal="center"/>
      <protection locked="0"/>
    </xf>
    <xf numFmtId="0" fontId="18" fillId="0" borderId="0" xfId="46" applyFont="1" applyFill="1" applyBorder="1" applyAlignment="1" applyProtection="1">
      <alignment horizontal="center"/>
      <protection locked="0"/>
    </xf>
    <xf numFmtId="1" fontId="18" fillId="0" borderId="0" xfId="46" applyNumberFormat="1" applyFont="1" applyFill="1" applyBorder="1">
      <alignment/>
      <protection/>
    </xf>
    <xf numFmtId="4" fontId="18" fillId="0" borderId="0" xfId="46" applyNumberFormat="1" applyFont="1" applyFill="1" applyBorder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Protection="1">
      <alignment/>
      <protection locked="0"/>
    </xf>
    <xf numFmtId="0" fontId="19" fillId="0" borderId="0" xfId="46" applyFont="1" applyFill="1" applyBorder="1" applyAlignment="1" applyProtection="1">
      <alignment horizontal="center"/>
      <protection locked="0"/>
    </xf>
    <xf numFmtId="1" fontId="19" fillId="0" borderId="0" xfId="46" applyNumberFormat="1" applyFont="1" applyFill="1" applyBorder="1" applyAlignment="1">
      <alignment horizontal="center"/>
      <protection/>
    </xf>
    <xf numFmtId="2" fontId="19" fillId="0" borderId="0" xfId="46" applyNumberFormat="1" applyFont="1" applyFill="1" applyBorder="1" applyAlignment="1">
      <alignment horizontal="right"/>
      <protection/>
    </xf>
    <xf numFmtId="4" fontId="19" fillId="0" borderId="0" xfId="46" applyNumberFormat="1" applyFont="1" applyFill="1" applyBorder="1" applyAlignment="1" applyProtection="1">
      <alignment/>
      <protection/>
    </xf>
    <xf numFmtId="0" fontId="18" fillId="0" borderId="0" xfId="46" applyFont="1" applyBorder="1" applyAlignment="1">
      <alignment horizontal="center"/>
      <protection/>
    </xf>
    <xf numFmtId="0" fontId="18" fillId="0" borderId="0" xfId="46" applyFont="1" applyFill="1" applyBorder="1">
      <alignment/>
      <protection/>
    </xf>
    <xf numFmtId="0" fontId="19" fillId="0" borderId="0" xfId="46" applyFont="1" applyBorder="1" applyProtection="1">
      <alignment/>
      <protection locked="0"/>
    </xf>
    <xf numFmtId="0" fontId="19" fillId="0" borderId="0" xfId="46" applyFont="1" applyBorder="1" applyAlignment="1" applyProtection="1">
      <alignment horizontal="center"/>
      <protection locked="0"/>
    </xf>
    <xf numFmtId="1" fontId="19" fillId="0" borderId="0" xfId="46" applyNumberFormat="1" applyFont="1" applyBorder="1" applyAlignment="1">
      <alignment horizontal="center"/>
      <protection/>
    </xf>
    <xf numFmtId="2" fontId="19" fillId="0" borderId="0" xfId="46" applyNumberFormat="1" applyFont="1" applyBorder="1" applyAlignment="1">
      <alignment horizontal="right"/>
      <protection/>
    </xf>
    <xf numFmtId="4" fontId="19" fillId="36" borderId="27" xfId="46" applyNumberFormat="1" applyFont="1" applyFill="1" applyBorder="1" applyAlignment="1" applyProtection="1">
      <alignment/>
      <protection/>
    </xf>
    <xf numFmtId="0" fontId="18" fillId="0" borderId="0" xfId="46" applyFont="1" applyBorder="1" applyProtection="1">
      <alignment/>
      <protection locked="0"/>
    </xf>
    <xf numFmtId="4" fontId="19" fillId="37" borderId="27" xfId="46" applyNumberFormat="1" applyFont="1" applyFill="1" applyBorder="1" applyAlignment="1" applyProtection="1">
      <alignment/>
      <protection/>
    </xf>
    <xf numFmtId="0" fontId="20" fillId="38" borderId="27" xfId="46" applyFont="1" applyFill="1" applyBorder="1">
      <alignment/>
      <protection/>
    </xf>
    <xf numFmtId="4" fontId="20" fillId="38" borderId="27" xfId="46" applyNumberFormat="1" applyFont="1" applyFill="1" applyBorder="1" applyAlignment="1">
      <alignment horizontal="right"/>
      <protection/>
    </xf>
    <xf numFmtId="1" fontId="18" fillId="0" borderId="0" xfId="46" applyNumberFormat="1" applyFont="1" applyBorder="1" applyAlignment="1" applyProtection="1">
      <alignment horizontal="right"/>
      <protection/>
    </xf>
    <xf numFmtId="1" fontId="18" fillId="0" borderId="0" xfId="46" applyNumberFormat="1" applyFont="1" applyBorder="1" applyAlignment="1" applyProtection="1">
      <alignment horizontal="center"/>
      <protection/>
    </xf>
    <xf numFmtId="0" fontId="19" fillId="0" borderId="0" xfId="46" applyFont="1" applyBorder="1">
      <alignment/>
      <protection/>
    </xf>
    <xf numFmtId="0" fontId="18" fillId="0" borderId="21" xfId="46" applyFont="1" applyBorder="1">
      <alignment/>
      <protection/>
    </xf>
    <xf numFmtId="0" fontId="18" fillId="0" borderId="21" xfId="46" applyFont="1" applyBorder="1" applyAlignment="1" applyProtection="1">
      <alignment horizontal="center"/>
      <protection locked="0"/>
    </xf>
    <xf numFmtId="0" fontId="18" fillId="0" borderId="0" xfId="46" applyFont="1" applyBorder="1" applyAlignment="1" applyProtection="1">
      <alignment horizontal="center"/>
      <protection locked="0"/>
    </xf>
    <xf numFmtId="0" fontId="18" fillId="0" borderId="0" xfId="46" applyFont="1" applyBorder="1" applyAlignment="1">
      <alignment horizontal="center"/>
      <protection/>
    </xf>
    <xf numFmtId="0" fontId="27" fillId="0" borderId="0" xfId="46" applyFont="1" applyBorder="1">
      <alignment/>
      <protection/>
    </xf>
    <xf numFmtId="1" fontId="18" fillId="0" borderId="0" xfId="46" applyNumberFormat="1" applyFont="1" applyBorder="1">
      <alignment/>
      <protection/>
    </xf>
    <xf numFmtId="0" fontId="18" fillId="0" borderId="0" xfId="46" applyFont="1" applyAlignment="1" applyProtection="1">
      <alignment horizontal="center"/>
      <protection locked="0"/>
    </xf>
    <xf numFmtId="0" fontId="18" fillId="0" borderId="0" xfId="46" applyFont="1" applyProtection="1">
      <alignment/>
      <protection locked="0"/>
    </xf>
    <xf numFmtId="1" fontId="18" fillId="0" borderId="0" xfId="46" applyNumberFormat="1" applyFont="1">
      <alignment/>
      <protection/>
    </xf>
    <xf numFmtId="1" fontId="18" fillId="0" borderId="0" xfId="46" applyNumberFormat="1" applyFont="1" applyBorder="1" applyAlignment="1" applyProtection="1">
      <alignment horizontal="center"/>
      <protection locked="0"/>
    </xf>
    <xf numFmtId="1" fontId="18" fillId="0" borderId="0" xfId="46" applyNumberFormat="1" applyFont="1" applyAlignment="1">
      <alignment horizontal="right"/>
      <protection/>
    </xf>
    <xf numFmtId="0" fontId="18" fillId="0" borderId="0" xfId="46" applyNumberFormat="1" applyFont="1" applyAlignment="1">
      <alignment horizontal="center"/>
      <protection/>
    </xf>
    <xf numFmtId="2" fontId="18" fillId="0" borderId="0" xfId="46" applyNumberFormat="1" applyFont="1" applyAlignment="1">
      <alignment horizontal="center"/>
      <protection/>
    </xf>
    <xf numFmtId="0" fontId="18" fillId="0" borderId="0" xfId="46" applyFont="1" applyProtection="1">
      <alignment/>
      <protection locked="0"/>
    </xf>
    <xf numFmtId="0" fontId="18" fillId="0" borderId="0" xfId="46" applyFont="1" applyAlignment="1" applyProtection="1">
      <alignment horizontal="center"/>
      <protection locked="0"/>
    </xf>
    <xf numFmtId="1" fontId="18" fillId="0" borderId="0" xfId="46" applyNumberFormat="1" applyFont="1" applyAlignment="1" applyProtection="1">
      <alignment horizontal="center"/>
      <protection locked="0"/>
    </xf>
    <xf numFmtId="0" fontId="25" fillId="0" borderId="0" xfId="46" applyFont="1" applyFill="1" applyProtection="1">
      <alignment/>
      <protection locked="0"/>
    </xf>
    <xf numFmtId="0" fontId="18" fillId="0" borderId="0" xfId="46" applyFont="1" applyFill="1" applyProtection="1">
      <alignment/>
      <protection locked="0"/>
    </xf>
    <xf numFmtId="1" fontId="18" fillId="0" borderId="0" xfId="46" applyNumberFormat="1" applyFont="1" applyAlignment="1">
      <alignment horizontal="center"/>
      <protection/>
    </xf>
    <xf numFmtId="0" fontId="18" fillId="0" borderId="0" xfId="46" applyFont="1" applyFill="1" applyProtection="1">
      <alignment/>
      <protection locked="0"/>
    </xf>
    <xf numFmtId="0" fontId="19" fillId="0" borderId="0" xfId="46" applyFont="1">
      <alignment/>
      <protection/>
    </xf>
    <xf numFmtId="1" fontId="19" fillId="0" borderId="0" xfId="46" applyNumberFormat="1" applyFont="1" applyBorder="1" applyAlignment="1" applyProtection="1">
      <alignment horizontal="right"/>
      <protection/>
    </xf>
    <xf numFmtId="1" fontId="18" fillId="0" borderId="0" xfId="46" applyNumberFormat="1" applyFont="1" applyAlignment="1">
      <alignment horizontal="center"/>
      <protection/>
    </xf>
    <xf numFmtId="2" fontId="18" fillId="0" borderId="0" xfId="46" applyNumberFormat="1" applyFont="1" applyAlignment="1">
      <alignment horizontal="right"/>
      <protection/>
    </xf>
    <xf numFmtId="2" fontId="18" fillId="0" borderId="0" xfId="46" applyNumberFormat="1" applyFont="1" applyBorder="1" applyAlignment="1" applyProtection="1">
      <alignment horizontal="right"/>
      <protection/>
    </xf>
    <xf numFmtId="1" fontId="19" fillId="0" borderId="0" xfId="46" applyNumberFormat="1" applyFont="1" applyBorder="1" applyAlignment="1">
      <alignment horizontal="right"/>
      <protection/>
    </xf>
    <xf numFmtId="1" fontId="28" fillId="0" borderId="0" xfId="46" applyNumberFormat="1" applyFont="1">
      <alignment/>
      <protection/>
    </xf>
    <xf numFmtId="1" fontId="19" fillId="0" borderId="0" xfId="46" applyNumberFormat="1" applyFont="1">
      <alignment/>
      <protection/>
    </xf>
    <xf numFmtId="1" fontId="19" fillId="0" borderId="0" xfId="46" applyNumberFormat="1" applyFont="1" applyBorder="1" applyAlignment="1">
      <alignment horizontal="right"/>
      <protection/>
    </xf>
    <xf numFmtId="2" fontId="18" fillId="0" borderId="0" xfId="46" applyNumberFormat="1" applyFont="1" applyAlignment="1">
      <alignment horizontal="left"/>
      <protection/>
    </xf>
    <xf numFmtId="1" fontId="19" fillId="0" borderId="0" xfId="46" applyNumberFormat="1" applyFont="1" applyBorder="1" applyAlignment="1" applyProtection="1">
      <alignment horizontal="right"/>
      <protection/>
    </xf>
    <xf numFmtId="0" fontId="18" fillId="0" borderId="0" xfId="46" applyFont="1" applyFill="1">
      <alignment/>
      <protection/>
    </xf>
    <xf numFmtId="2" fontId="18" fillId="0" borderId="0" xfId="46" applyNumberFormat="1" applyFont="1" applyAlignment="1">
      <alignment horizontal="right"/>
      <protection/>
    </xf>
    <xf numFmtId="0" fontId="19" fillId="0" borderId="0" xfId="46" applyFont="1" applyFill="1">
      <alignment/>
      <protection/>
    </xf>
    <xf numFmtId="0" fontId="19" fillId="0" borderId="0" xfId="46" applyFont="1" applyProtection="1">
      <alignment/>
      <protection locked="0"/>
    </xf>
    <xf numFmtId="0" fontId="19" fillId="0" borderId="0" xfId="46" applyFont="1" applyAlignment="1" applyProtection="1">
      <alignment horizontal="center"/>
      <protection locked="0"/>
    </xf>
    <xf numFmtId="1" fontId="19" fillId="0" borderId="0" xfId="46" applyNumberFormat="1" applyFont="1" applyAlignment="1">
      <alignment horizontal="center"/>
      <protection/>
    </xf>
    <xf numFmtId="2" fontId="19" fillId="0" borderId="0" xfId="46" applyNumberFormat="1" applyFont="1" applyAlignment="1">
      <alignment horizontal="right"/>
      <protection/>
    </xf>
    <xf numFmtId="1" fontId="19" fillId="0" borderId="0" xfId="46" applyNumberFormat="1" applyFont="1" applyBorder="1" applyAlignment="1" applyProtection="1">
      <alignment/>
      <protection/>
    </xf>
    <xf numFmtId="1" fontId="18" fillId="0" borderId="0" xfId="46" applyNumberFormat="1" applyFont="1" applyAlignment="1">
      <alignment horizontal="right"/>
      <protection/>
    </xf>
    <xf numFmtId="0" fontId="18" fillId="0" borderId="0" xfId="46" applyFont="1" applyFill="1" applyAlignment="1">
      <alignment horizontal="center"/>
      <protection/>
    </xf>
    <xf numFmtId="0" fontId="18" fillId="0" borderId="0" xfId="46" applyFont="1" applyFill="1" applyAlignment="1" applyProtection="1">
      <alignment horizontal="center"/>
      <protection locked="0"/>
    </xf>
    <xf numFmtId="1" fontId="18" fillId="0" borderId="0" xfId="46" applyNumberFormat="1" applyFont="1" applyFill="1" applyAlignment="1" applyProtection="1">
      <alignment horizontal="center"/>
      <protection locked="0"/>
    </xf>
    <xf numFmtId="1" fontId="18" fillId="0" borderId="0" xfId="46" applyNumberFormat="1" applyFont="1" applyFill="1" applyAlignment="1">
      <alignment horizontal="right"/>
      <protection/>
    </xf>
    <xf numFmtId="1" fontId="18" fillId="0" borderId="0" xfId="46" applyNumberFormat="1" applyFont="1" applyFill="1">
      <alignment/>
      <protection/>
    </xf>
    <xf numFmtId="1" fontId="18" fillId="0" borderId="0" xfId="46" applyNumberFormat="1" applyFont="1" applyFill="1" applyBorder="1" applyAlignment="1">
      <alignment horizontal="right"/>
      <protection/>
    </xf>
    <xf numFmtId="0" fontId="18" fillId="0" borderId="0" xfId="46" applyFont="1" applyFill="1">
      <alignment/>
      <protection/>
    </xf>
    <xf numFmtId="0" fontId="18" fillId="0" borderId="0" xfId="46" applyFont="1" applyFill="1" applyAlignment="1" applyProtection="1">
      <alignment horizontal="center"/>
      <protection locked="0"/>
    </xf>
    <xf numFmtId="2" fontId="18" fillId="0" borderId="0" xfId="46" applyNumberFormat="1" applyFont="1" applyFill="1" applyAlignment="1">
      <alignment horizontal="center"/>
      <protection/>
    </xf>
    <xf numFmtId="2" fontId="18" fillId="0" borderId="0" xfId="46" applyNumberFormat="1" applyFont="1" applyFill="1" applyAlignment="1">
      <alignment horizontal="right"/>
      <protection/>
    </xf>
    <xf numFmtId="2" fontId="18" fillId="0" borderId="0" xfId="46" applyNumberFormat="1" applyFont="1" applyFill="1" applyBorder="1" applyAlignment="1" applyProtection="1">
      <alignment horizontal="right"/>
      <protection/>
    </xf>
    <xf numFmtId="2" fontId="18" fillId="0" borderId="0" xfId="46" applyNumberFormat="1" applyFont="1" applyFill="1" applyBorder="1" applyAlignment="1">
      <alignment horizontal="right"/>
      <protection/>
    </xf>
    <xf numFmtId="0" fontId="18" fillId="0" borderId="0" xfId="46" applyNumberFormat="1" applyFont="1" applyFill="1" applyAlignment="1">
      <alignment horizontal="center"/>
      <protection/>
    </xf>
    <xf numFmtId="1" fontId="18" fillId="0" borderId="0" xfId="46" applyNumberFormat="1" applyFont="1" applyFill="1" applyAlignment="1">
      <alignment horizontal="center"/>
      <protection/>
    </xf>
    <xf numFmtId="1" fontId="18" fillId="0" borderId="0" xfId="46" applyNumberFormat="1" applyFont="1" applyFill="1" applyBorder="1" applyAlignment="1" applyProtection="1">
      <alignment horizontal="right"/>
      <protection/>
    </xf>
    <xf numFmtId="2" fontId="18" fillId="0" borderId="0" xfId="46" applyNumberFormat="1" applyFont="1" applyFill="1" applyAlignment="1">
      <alignment horizontal="left"/>
      <protection/>
    </xf>
    <xf numFmtId="1" fontId="19" fillId="0" borderId="0" xfId="46" applyNumberFormat="1" applyFont="1" applyFill="1" applyBorder="1" applyAlignment="1" applyProtection="1">
      <alignment horizontal="right"/>
      <protection/>
    </xf>
    <xf numFmtId="1" fontId="19" fillId="0" borderId="0" xfId="46" applyNumberFormat="1" applyFont="1" applyFill="1" applyBorder="1" applyAlignment="1">
      <alignment horizontal="right"/>
      <protection/>
    </xf>
    <xf numFmtId="2" fontId="18" fillId="0" borderId="0" xfId="46" applyNumberFormat="1" applyFont="1" applyFill="1" applyAlignment="1">
      <alignment horizontal="right"/>
      <protection/>
    </xf>
    <xf numFmtId="0" fontId="19" fillId="0" borderId="0" xfId="46" applyFont="1" applyFill="1" applyProtection="1">
      <alignment/>
      <protection locked="0"/>
    </xf>
    <xf numFmtId="0" fontId="19" fillId="0" borderId="0" xfId="46" applyFont="1" applyFill="1" applyAlignment="1" applyProtection="1">
      <alignment horizontal="center"/>
      <protection locked="0"/>
    </xf>
    <xf numFmtId="1" fontId="19" fillId="0" borderId="0" xfId="46" applyNumberFormat="1" applyFont="1" applyFill="1" applyAlignment="1">
      <alignment horizontal="center"/>
      <protection/>
    </xf>
    <xf numFmtId="2" fontId="19" fillId="0" borderId="0" xfId="46" applyNumberFormat="1" applyFont="1" applyFill="1" applyAlignment="1">
      <alignment horizontal="right"/>
      <protection/>
    </xf>
    <xf numFmtId="1" fontId="19" fillId="0" borderId="0" xfId="46" applyNumberFormat="1" applyFont="1" applyFill="1" applyBorder="1" applyAlignment="1" applyProtection="1">
      <alignment/>
      <protection/>
    </xf>
    <xf numFmtId="1" fontId="19" fillId="0" borderId="0" xfId="46" applyNumberFormat="1" applyFont="1" applyFill="1" applyProtection="1">
      <alignment/>
      <protection locked="0"/>
    </xf>
    <xf numFmtId="2" fontId="18" fillId="0" borderId="0" xfId="46" applyNumberFormat="1" applyFont="1" applyAlignment="1" applyProtection="1">
      <alignment horizontal="center"/>
      <protection locked="0"/>
    </xf>
    <xf numFmtId="169" fontId="71" fillId="41" borderId="0" xfId="45" applyNumberFormat="1" applyFont="1" applyFill="1">
      <alignment/>
      <protection/>
    </xf>
    <xf numFmtId="169" fontId="68" fillId="41" borderId="0" xfId="45" applyNumberFormat="1" applyFont="1" applyFill="1">
      <alignment/>
      <protection/>
    </xf>
    <xf numFmtId="169" fontId="68" fillId="41" borderId="10" xfId="45" applyNumberFormat="1" applyFont="1" applyFill="1" applyBorder="1">
      <alignment/>
      <protection/>
    </xf>
    <xf numFmtId="2" fontId="68" fillId="41" borderId="0" xfId="45" applyNumberFormat="1" applyFont="1" applyFill="1">
      <alignment/>
      <protection/>
    </xf>
    <xf numFmtId="2" fontId="68" fillId="41" borderId="10" xfId="45" applyNumberFormat="1" applyFont="1" applyFill="1" applyBorder="1">
      <alignment/>
      <protection/>
    </xf>
    <xf numFmtId="1" fontId="18" fillId="41" borderId="0" xfId="46" applyNumberFormat="1" applyFont="1" applyFill="1" applyBorder="1" applyAlignment="1">
      <alignment/>
      <protection/>
    </xf>
    <xf numFmtId="4" fontId="1" fillId="41" borderId="13" xfId="0" applyNumberFormat="1" applyFont="1" applyFill="1" applyBorder="1" applyAlignment="1" applyProtection="1">
      <alignment horizontal="right" vertical="center"/>
      <protection/>
    </xf>
    <xf numFmtId="4" fontId="1" fillId="41" borderId="26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4" fontId="1" fillId="0" borderId="20" xfId="0" applyNumberFormat="1" applyFont="1" applyFill="1" applyBorder="1" applyAlignment="1" applyProtection="1">
      <alignment vertical="center" wrapText="1"/>
      <protection/>
    </xf>
    <xf numFmtId="14" fontId="1" fillId="0" borderId="49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50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49" fontId="5" fillId="0" borderId="50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49" fontId="4" fillId="0" borderId="5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49" fontId="4" fillId="33" borderId="50" xfId="0" applyNumberFormat="1" applyFont="1" applyFill="1" applyBorder="1" applyAlignment="1" applyProtection="1">
      <alignment vertical="center"/>
      <protection/>
    </xf>
    <xf numFmtId="0" fontId="4" fillId="33" borderId="38" xfId="0" applyNumberFormat="1" applyFont="1" applyFill="1" applyBorder="1" applyAlignment="1" applyProtection="1">
      <alignment vertical="center"/>
      <protection/>
    </xf>
    <xf numFmtId="49" fontId="5" fillId="0" borderId="39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47" xfId="0" applyNumberFormat="1" applyFont="1" applyFill="1" applyBorder="1" applyAlignment="1" applyProtection="1">
      <alignment vertical="center"/>
      <protection/>
    </xf>
    <xf numFmtId="49" fontId="5" fillId="0" borderId="41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 applyProtection="1">
      <alignment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49" fontId="9" fillId="0" borderId="51" xfId="0" applyNumberFormat="1" applyFont="1" applyFill="1" applyBorder="1" applyAlignment="1" applyProtection="1">
      <alignment vertical="center"/>
      <protection/>
    </xf>
    <xf numFmtId="0" fontId="9" fillId="0" borderId="52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49" fontId="1" fillId="0" borderId="50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1" fillId="0" borderId="54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49" fontId="9" fillId="0" borderId="56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9" fillId="0" borderId="57" xfId="0" applyNumberFormat="1" applyFont="1" applyFill="1" applyBorder="1" applyAlignment="1" applyProtection="1">
      <alignment vertical="center"/>
      <protection/>
    </xf>
    <xf numFmtId="49" fontId="4" fillId="0" borderId="56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57" xfId="0" applyNumberFormat="1" applyFont="1" applyFill="1" applyBorder="1" applyAlignment="1" applyProtection="1">
      <alignment vertical="center"/>
      <protection/>
    </xf>
    <xf numFmtId="4" fontId="4" fillId="0" borderId="56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57" xfId="0" applyNumberFormat="1" applyFont="1" applyFill="1" applyBorder="1" applyAlignment="1" applyProtection="1">
      <alignment horizontal="right" vertical="center"/>
      <protection/>
    </xf>
    <xf numFmtId="49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58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59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49" fontId="1" fillId="0" borderId="60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49" fontId="9" fillId="0" borderId="58" xfId="0" applyNumberFormat="1" applyFont="1" applyFill="1" applyBorder="1" applyAlignment="1" applyProtection="1">
      <alignment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9" fillId="0" borderId="42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0" fontId="18" fillId="40" borderId="48" xfId="46" applyFont="1" applyFill="1" applyBorder="1" applyAlignment="1">
      <alignment horizontal="center"/>
      <protection/>
    </xf>
    <xf numFmtId="0" fontId="18" fillId="40" borderId="16" xfId="46" applyFont="1" applyFill="1" applyBorder="1" applyAlignment="1">
      <alignment horizontal="center"/>
      <protection/>
    </xf>
    <xf numFmtId="0" fontId="18" fillId="40" borderId="19" xfId="46" applyFont="1" applyFill="1" applyBorder="1" applyAlignment="1">
      <alignment horizontal="center"/>
      <protection/>
    </xf>
    <xf numFmtId="49" fontId="23" fillId="42" borderId="41" xfId="46" applyNumberFormat="1" applyFont="1" applyFill="1" applyBorder="1" applyAlignment="1" applyProtection="1">
      <alignment horizontal="center"/>
      <protection locked="0"/>
    </xf>
    <xf numFmtId="49" fontId="23" fillId="42" borderId="42" xfId="46" applyNumberFormat="1" applyFont="1" applyFill="1" applyBorder="1" applyAlignment="1" applyProtection="1">
      <alignment horizontal="center"/>
      <protection locked="0"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FF8000"/>
      <rgbColor rgb="00000000"/>
      <rgbColor rgb="0000FFFF"/>
      <rgbColor rgb="00000000"/>
      <rgbColor rgb="00C0C0C0"/>
      <rgbColor rgb="00000000"/>
      <rgbColor rgb="00000000"/>
      <rgbColor rgb="00000000"/>
      <rgbColor rgb="00000000"/>
      <rgbColor rgb="000000FF"/>
      <rgbColor rgb="000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7"/>
  <sheetViews>
    <sheetView tabSelected="1" zoomScalePageLayoutView="0" workbookViewId="0" topLeftCell="A1">
      <selection activeCell="H39" sqref="H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7.421875" style="0" customWidth="1"/>
    <col min="4" max="4" width="19.8515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32.8515625" style="0" customWidth="1"/>
  </cols>
  <sheetData>
    <row r="1" spans="1:9" ht="72.75" customHeight="1">
      <c r="A1" s="74"/>
      <c r="B1" s="1"/>
      <c r="C1" s="349" t="s">
        <v>22</v>
      </c>
      <c r="D1" s="350"/>
      <c r="E1" s="350"/>
      <c r="F1" s="350"/>
      <c r="G1" s="350"/>
      <c r="H1" s="350"/>
      <c r="I1" s="350"/>
    </row>
    <row r="2" spans="1:10" ht="12.75">
      <c r="A2" s="351" t="s">
        <v>0</v>
      </c>
      <c r="B2" s="352"/>
      <c r="C2" s="355" t="str">
        <f>'Stavební rozpočet'!D2</f>
        <v>MŠ Velký Borek, energeticky úsporné větrání</v>
      </c>
      <c r="D2" s="356"/>
      <c r="E2" s="358" t="s">
        <v>32</v>
      </c>
      <c r="F2" s="358" t="str">
        <f>'Stavební rozpočet'!J2</f>
        <v>Obec Velký Borek</v>
      </c>
      <c r="G2" s="352"/>
      <c r="H2" s="358" t="s">
        <v>52</v>
      </c>
      <c r="I2" s="359" t="s">
        <v>56</v>
      </c>
      <c r="J2" s="2"/>
    </row>
    <row r="3" spans="1:10" ht="12.75">
      <c r="A3" s="353"/>
      <c r="B3" s="354"/>
      <c r="C3" s="357"/>
      <c r="D3" s="357"/>
      <c r="E3" s="354"/>
      <c r="F3" s="354"/>
      <c r="G3" s="354"/>
      <c r="H3" s="354"/>
      <c r="I3" s="360"/>
      <c r="J3" s="2"/>
    </row>
    <row r="4" spans="1:10" ht="12.75">
      <c r="A4" s="361" t="s">
        <v>1</v>
      </c>
      <c r="B4" s="354"/>
      <c r="C4" s="362" t="str">
        <f>'Stavební rozpočet'!D4</f>
        <v>TZB - Technika prostředí - VZT řízené větrání s rekuperací, chlazení</v>
      </c>
      <c r="D4" s="354"/>
      <c r="E4" s="362" t="s">
        <v>33</v>
      </c>
      <c r="F4" s="362" t="str">
        <f>'Stavební rozpočet'!J4</f>
        <v>Ing. Jiří Šír - VISTA</v>
      </c>
      <c r="G4" s="354"/>
      <c r="H4" s="362" t="s">
        <v>52</v>
      </c>
      <c r="I4" s="363" t="s">
        <v>57</v>
      </c>
      <c r="J4" s="2"/>
    </row>
    <row r="5" spans="1:10" ht="12.75">
      <c r="A5" s="353"/>
      <c r="B5" s="354"/>
      <c r="C5" s="354"/>
      <c r="D5" s="354"/>
      <c r="E5" s="354"/>
      <c r="F5" s="354"/>
      <c r="G5" s="354"/>
      <c r="H5" s="354"/>
      <c r="I5" s="360"/>
      <c r="J5" s="2"/>
    </row>
    <row r="6" spans="1:10" ht="12.75">
      <c r="A6" s="361" t="s">
        <v>2</v>
      </c>
      <c r="B6" s="354"/>
      <c r="C6" s="362" t="str">
        <f>'Stavební rozpočet'!D6</f>
        <v>Školní  č.p. 226, Velký Borek</v>
      </c>
      <c r="D6" s="354"/>
      <c r="E6" s="362" t="s">
        <v>34</v>
      </c>
      <c r="F6" s="362" t="str">
        <f>'Stavební rozpočet'!J6</f>
        <v>Vzejde z výběrového řízení</v>
      </c>
      <c r="G6" s="354"/>
      <c r="H6" s="362" t="s">
        <v>52</v>
      </c>
      <c r="I6" s="363"/>
      <c r="J6" s="2"/>
    </row>
    <row r="7" spans="1:10" ht="12.75">
      <c r="A7" s="353"/>
      <c r="B7" s="354"/>
      <c r="C7" s="354"/>
      <c r="D7" s="354"/>
      <c r="E7" s="354"/>
      <c r="F7" s="354"/>
      <c r="G7" s="354"/>
      <c r="H7" s="354"/>
      <c r="I7" s="360"/>
      <c r="J7" s="2"/>
    </row>
    <row r="8" spans="1:10" ht="12.75">
      <c r="A8" s="361" t="s">
        <v>3</v>
      </c>
      <c r="B8" s="354"/>
      <c r="C8" s="362" t="str">
        <f>'Stavební rozpočet'!G4</f>
        <v> </v>
      </c>
      <c r="D8" s="354"/>
      <c r="E8" s="362" t="s">
        <v>35</v>
      </c>
      <c r="F8" s="362" t="s">
        <v>77</v>
      </c>
      <c r="G8" s="354"/>
      <c r="H8" s="364" t="s">
        <v>53</v>
      </c>
      <c r="I8" s="363" t="s">
        <v>58</v>
      </c>
      <c r="J8" s="2"/>
    </row>
    <row r="9" spans="1:10" ht="12.75">
      <c r="A9" s="353"/>
      <c r="B9" s="354"/>
      <c r="C9" s="354"/>
      <c r="D9" s="354"/>
      <c r="E9" s="354"/>
      <c r="F9" s="354"/>
      <c r="G9" s="354"/>
      <c r="H9" s="354"/>
      <c r="I9" s="360"/>
      <c r="J9" s="2"/>
    </row>
    <row r="10" spans="1:10" ht="12.75">
      <c r="A10" s="361" t="s">
        <v>4</v>
      </c>
      <c r="B10" s="354"/>
      <c r="C10" s="362">
        <f>'Stavební rozpočet'!D8</f>
        <v>8013189</v>
      </c>
      <c r="D10" s="354"/>
      <c r="E10" s="362" t="s">
        <v>36</v>
      </c>
      <c r="F10" s="362" t="str">
        <f>'Stavební rozpočet'!J8</f>
        <v>Ing. Jiří Šír</v>
      </c>
      <c r="G10" s="354"/>
      <c r="H10" s="364" t="s">
        <v>54</v>
      </c>
      <c r="I10" s="367">
        <v>43221</v>
      </c>
      <c r="J10" s="2"/>
    </row>
    <row r="11" spans="1:10" ht="12.75">
      <c r="A11" s="365"/>
      <c r="B11" s="366"/>
      <c r="C11" s="366"/>
      <c r="D11" s="366"/>
      <c r="E11" s="366"/>
      <c r="F11" s="366"/>
      <c r="G11" s="366"/>
      <c r="H11" s="366"/>
      <c r="I11" s="368"/>
      <c r="J11" s="2"/>
    </row>
    <row r="12" spans="1:9" ht="23.25" customHeight="1">
      <c r="A12" s="369" t="s">
        <v>5</v>
      </c>
      <c r="B12" s="370"/>
      <c r="C12" s="370"/>
      <c r="D12" s="370"/>
      <c r="E12" s="370"/>
      <c r="F12" s="370"/>
      <c r="G12" s="370"/>
      <c r="H12" s="370"/>
      <c r="I12" s="370"/>
    </row>
    <row r="13" spans="1:10" ht="26.25" customHeight="1">
      <c r="A13" s="4" t="s">
        <v>6</v>
      </c>
      <c r="B13" s="371" t="s">
        <v>19</v>
      </c>
      <c r="C13" s="372"/>
      <c r="D13" s="4" t="s">
        <v>23</v>
      </c>
      <c r="E13" s="371" t="s">
        <v>37</v>
      </c>
      <c r="F13" s="372"/>
      <c r="G13" s="4" t="s">
        <v>38</v>
      </c>
      <c r="H13" s="371" t="s">
        <v>55</v>
      </c>
      <c r="I13" s="372"/>
      <c r="J13" s="2"/>
    </row>
    <row r="14" spans="1:10" ht="15" customHeight="1">
      <c r="A14" s="5" t="s">
        <v>7</v>
      </c>
      <c r="B14" s="10" t="s">
        <v>20</v>
      </c>
      <c r="C14" s="13">
        <f>'Krycí list objektu (SO 01)'!C14+'Krycí list objektu (SO 02)'!C14+'Krycí list objektu (SO 03)'!C14+'Krycí list objektu (SO 04)'!C14</f>
        <v>0</v>
      </c>
      <c r="D14" s="373" t="s">
        <v>24</v>
      </c>
      <c r="E14" s="374"/>
      <c r="F14" s="13">
        <f>VORN!I15</f>
        <v>0</v>
      </c>
      <c r="G14" s="373" t="s">
        <v>39</v>
      </c>
      <c r="H14" s="374"/>
      <c r="I14" s="13">
        <f>VORN!I21</f>
        <v>0</v>
      </c>
      <c r="J14" s="2"/>
    </row>
    <row r="15" spans="1:10" ht="15" customHeight="1">
      <c r="A15" s="6"/>
      <c r="B15" s="10" t="s">
        <v>21</v>
      </c>
      <c r="C15" s="13">
        <f>'Krycí list objektu (SO 01)'!C15+'Krycí list objektu (SO 02)'!C15+'Krycí list objektu (SO 03)'!C15+'Krycí list objektu (SO 04)'!C15</f>
        <v>0</v>
      </c>
      <c r="D15" s="373" t="s">
        <v>25</v>
      </c>
      <c r="E15" s="374"/>
      <c r="F15" s="13">
        <f>VORN!I16</f>
        <v>0</v>
      </c>
      <c r="G15" s="373" t="s">
        <v>40</v>
      </c>
      <c r="H15" s="374"/>
      <c r="I15" s="13">
        <f>VORN!I22</f>
        <v>0</v>
      </c>
      <c r="J15" s="2"/>
    </row>
    <row r="16" spans="1:10" ht="15" customHeight="1">
      <c r="A16" s="5" t="s">
        <v>8</v>
      </c>
      <c r="B16" s="10" t="s">
        <v>20</v>
      </c>
      <c r="C16" s="13">
        <f>'Krycí list objektu (SO 01)'!C16+'Krycí list objektu (SO 02)'!C16+'Krycí list objektu (SO 03)'!C16+'Krycí list objektu (SO 04)'!C16</f>
        <v>0</v>
      </c>
      <c r="D16" s="373" t="s">
        <v>26</v>
      </c>
      <c r="E16" s="374"/>
      <c r="F16" s="13">
        <f>VORN!I17</f>
        <v>0</v>
      </c>
      <c r="G16" s="373" t="s">
        <v>41</v>
      </c>
      <c r="H16" s="374"/>
      <c r="I16" s="13">
        <f>VORN!I23</f>
        <v>0</v>
      </c>
      <c r="J16" s="2"/>
    </row>
    <row r="17" spans="1:10" ht="15" customHeight="1">
      <c r="A17" s="6"/>
      <c r="B17" s="10" t="s">
        <v>21</v>
      </c>
      <c r="C17" s="13">
        <f>'Krycí list objektu (SO 01)'!C17+'Krycí list objektu (SO 02)'!C17+'Krycí list objektu (SO 03)'!C17+'Krycí list objektu (SO 04)'!C17</f>
        <v>0</v>
      </c>
      <c r="D17" s="373"/>
      <c r="E17" s="374"/>
      <c r="F17" s="14"/>
      <c r="G17" s="373" t="s">
        <v>42</v>
      </c>
      <c r="H17" s="374"/>
      <c r="I17" s="13">
        <f>VORN!I24</f>
        <v>0</v>
      </c>
      <c r="J17" s="2"/>
    </row>
    <row r="18" spans="1:11" ht="15" customHeight="1">
      <c r="A18" s="5" t="s">
        <v>9</v>
      </c>
      <c r="B18" s="10" t="s">
        <v>20</v>
      </c>
      <c r="C18" s="13">
        <f>'Krycí list objektu (SO 01)'!C18+'Krycí list objektu (SO 02)'!C18+'Krycí list objektu (SO 03)'!C18+'Krycí list objektu (SO 04)'!C18</f>
        <v>0</v>
      </c>
      <c r="D18" s="373"/>
      <c r="E18" s="374"/>
      <c r="F18" s="14"/>
      <c r="G18" s="373" t="s">
        <v>43</v>
      </c>
      <c r="H18" s="374"/>
      <c r="I18" s="13">
        <f>VORN!I25</f>
        <v>0</v>
      </c>
      <c r="J18" s="2"/>
      <c r="K18" t="s">
        <v>77</v>
      </c>
    </row>
    <row r="19" spans="1:10" ht="15" customHeight="1">
      <c r="A19" s="6"/>
      <c r="B19" s="10" t="s">
        <v>21</v>
      </c>
      <c r="C19" s="13">
        <f>'Krycí list objektu (SO 01)'!C19+'Krycí list objektu (SO 02)'!C19+'Krycí list objektu (SO 03)'!C19+'Krycí list objektu (SO 04)'!C19</f>
        <v>0</v>
      </c>
      <c r="D19" s="373"/>
      <c r="E19" s="374"/>
      <c r="F19" s="14"/>
      <c r="G19" s="373" t="s">
        <v>44</v>
      </c>
      <c r="H19" s="374"/>
      <c r="I19" s="13">
        <f>VORN!I26</f>
        <v>0</v>
      </c>
      <c r="J19" s="2"/>
    </row>
    <row r="20" spans="1:10" ht="15" customHeight="1">
      <c r="A20" s="375" t="s">
        <v>10</v>
      </c>
      <c r="B20" s="376"/>
      <c r="C20" s="13">
        <f>'Krycí list objektu (SO 01)'!C20+'Krycí list objektu (SO 02)'!C20+'Krycí list objektu (SO 03)'!C20+'Krycí list objektu (SO 04)'!C20</f>
        <v>0</v>
      </c>
      <c r="D20" s="373"/>
      <c r="E20" s="374"/>
      <c r="F20" s="14"/>
      <c r="G20" s="373"/>
      <c r="H20" s="374"/>
      <c r="I20" s="14"/>
      <c r="J20" s="2"/>
    </row>
    <row r="21" spans="1:10" ht="15" customHeight="1">
      <c r="A21" s="375" t="s">
        <v>11</v>
      </c>
      <c r="B21" s="376"/>
      <c r="C21" s="13">
        <f>'Krycí list objektu (SO 01)'!C21+'Krycí list objektu (SO 02)'!C21+'Krycí list objektu (SO 03)'!C21+'Krycí list objektu (SO 04)'!C21</f>
        <v>0</v>
      </c>
      <c r="D21" s="373"/>
      <c r="E21" s="374"/>
      <c r="F21" s="14"/>
      <c r="G21" s="373"/>
      <c r="H21" s="374"/>
      <c r="I21" s="14"/>
      <c r="J21" s="2"/>
    </row>
    <row r="22" spans="1:10" ht="16.5" customHeight="1">
      <c r="A22" s="375" t="s">
        <v>12</v>
      </c>
      <c r="B22" s="376"/>
      <c r="C22" s="13">
        <f>SUM(C14:C21)</f>
        <v>0</v>
      </c>
      <c r="D22" s="375" t="s">
        <v>27</v>
      </c>
      <c r="E22" s="376"/>
      <c r="F22" s="13">
        <f>SUM(F14:F21)</f>
        <v>0</v>
      </c>
      <c r="G22" s="375" t="s">
        <v>45</v>
      </c>
      <c r="H22" s="376"/>
      <c r="I22" s="13">
        <f>SUM(I14:I21)</f>
        <v>0</v>
      </c>
      <c r="J22" s="2"/>
    </row>
    <row r="23" spans="1:10" ht="15" customHeight="1">
      <c r="A23" s="7"/>
      <c r="B23" s="7"/>
      <c r="C23" s="12"/>
      <c r="D23" s="375" t="s">
        <v>28</v>
      </c>
      <c r="E23" s="376"/>
      <c r="F23" s="13">
        <f>'Krycí list objektu (SO 01)'!F22+'Krycí list objektu (SO 02)'!F22+'Krycí list objektu (SO 03)'!F22+'Krycí list objektu (SO 04)'!F22</f>
        <v>0</v>
      </c>
      <c r="G23" s="375" t="s">
        <v>46</v>
      </c>
      <c r="H23" s="376"/>
      <c r="I23" s="13">
        <f>'Krycí list objektu (SO 01)'!I22+'Krycí list objektu (SO 02)'!I22+'Krycí list objektu (SO 03)'!I22+'Krycí list objektu (SO 04)'!I22</f>
        <v>0</v>
      </c>
      <c r="J23" s="2"/>
    </row>
    <row r="24" spans="4:10" ht="15" customHeight="1">
      <c r="D24" s="7"/>
      <c r="E24" s="7"/>
      <c r="F24" s="12"/>
      <c r="G24" s="375" t="s">
        <v>47</v>
      </c>
      <c r="H24" s="376"/>
      <c r="I24" s="13">
        <f>vorn_sum</f>
        <v>0</v>
      </c>
      <c r="J24" s="2"/>
    </row>
    <row r="25" spans="6:10" ht="15" customHeight="1">
      <c r="F25" s="15"/>
      <c r="G25" s="375" t="s">
        <v>48</v>
      </c>
      <c r="H25" s="376"/>
      <c r="I25" s="13">
        <f>'Krycí list objektu (SO 01)'!I23+'Krycí list objektu (SO 02)'!I23+'Krycí list objektu (SO 03)'!I23+'Krycí list objektu (SO 04)'!I23</f>
        <v>0</v>
      </c>
      <c r="J25" s="2"/>
    </row>
    <row r="26" spans="1:9" ht="12.75">
      <c r="A26" s="1"/>
      <c r="B26" s="1"/>
      <c r="C26" s="1"/>
      <c r="G26" s="7"/>
      <c r="H26" s="7"/>
      <c r="I26" s="7"/>
    </row>
    <row r="27" spans="1:9" ht="15" customHeight="1">
      <c r="A27" s="377" t="s">
        <v>13</v>
      </c>
      <c r="B27" s="378"/>
      <c r="C27" s="18">
        <f>SUM('Stavební rozpočet'!Z12:Z148)</f>
        <v>0</v>
      </c>
      <c r="D27" s="3"/>
      <c r="E27" s="1"/>
      <c r="F27" s="1"/>
      <c r="G27" s="1"/>
      <c r="H27" s="1"/>
      <c r="I27" s="1"/>
    </row>
    <row r="28" spans="1:10" ht="15" customHeight="1">
      <c r="A28" s="377" t="s">
        <v>14</v>
      </c>
      <c r="B28" s="378"/>
      <c r="C28" s="18">
        <f>SUM('Stavební rozpočet'!AA12:AA148)</f>
        <v>0</v>
      </c>
      <c r="D28" s="377" t="s">
        <v>29</v>
      </c>
      <c r="E28" s="378"/>
      <c r="F28" s="18">
        <f>ROUND(C28*(15/100),2)</f>
        <v>0</v>
      </c>
      <c r="G28" s="377" t="s">
        <v>49</v>
      </c>
      <c r="H28" s="378"/>
      <c r="I28" s="18">
        <f>SUM(C27:C29)</f>
        <v>0</v>
      </c>
      <c r="J28" s="2"/>
    </row>
    <row r="29" spans="1:10" ht="15" customHeight="1">
      <c r="A29" s="377" t="s">
        <v>15</v>
      </c>
      <c r="B29" s="378"/>
      <c r="C29" s="18">
        <f>C22+(F22+I22+F23+I23+I24+I25)</f>
        <v>0</v>
      </c>
      <c r="D29" s="377" t="s">
        <v>30</v>
      </c>
      <c r="E29" s="378"/>
      <c r="F29" s="18">
        <f>ROUND(C29*(21/100),2)</f>
        <v>0</v>
      </c>
      <c r="G29" s="377" t="s">
        <v>50</v>
      </c>
      <c r="H29" s="378"/>
      <c r="I29" s="18">
        <f>SUM(F28:F29)+I28</f>
        <v>0</v>
      </c>
      <c r="J29" s="2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10" ht="14.25" customHeight="1">
      <c r="A31" s="379" t="s">
        <v>16</v>
      </c>
      <c r="B31" s="380"/>
      <c r="C31" s="381"/>
      <c r="D31" s="379" t="s">
        <v>31</v>
      </c>
      <c r="E31" s="380"/>
      <c r="F31" s="381"/>
      <c r="G31" s="379" t="s">
        <v>51</v>
      </c>
      <c r="H31" s="380"/>
      <c r="I31" s="381"/>
      <c r="J31" s="17"/>
    </row>
    <row r="32" spans="1:10" ht="14.25" customHeight="1">
      <c r="A32" s="382"/>
      <c r="B32" s="383"/>
      <c r="C32" s="384"/>
      <c r="D32" s="382"/>
      <c r="E32" s="383"/>
      <c r="F32" s="384"/>
      <c r="G32" s="382"/>
      <c r="H32" s="383"/>
      <c r="I32" s="384"/>
      <c r="J32" s="17"/>
    </row>
    <row r="33" spans="1:10" ht="14.25" customHeight="1">
      <c r="A33" s="382"/>
      <c r="B33" s="383"/>
      <c r="C33" s="384"/>
      <c r="D33" s="382"/>
      <c r="E33" s="383"/>
      <c r="F33" s="384"/>
      <c r="G33" s="382"/>
      <c r="H33" s="383"/>
      <c r="I33" s="384"/>
      <c r="J33" s="17"/>
    </row>
    <row r="34" spans="1:10" ht="14.25" customHeight="1">
      <c r="A34" s="382"/>
      <c r="B34" s="383"/>
      <c r="C34" s="384"/>
      <c r="D34" s="382"/>
      <c r="E34" s="383"/>
      <c r="F34" s="384"/>
      <c r="G34" s="382"/>
      <c r="H34" s="383"/>
      <c r="I34" s="384"/>
      <c r="J34" s="17"/>
    </row>
    <row r="35" spans="1:10" ht="14.25" customHeight="1">
      <c r="A35" s="385" t="s">
        <v>17</v>
      </c>
      <c r="B35" s="386"/>
      <c r="C35" s="387"/>
      <c r="D35" s="385" t="s">
        <v>17</v>
      </c>
      <c r="E35" s="386"/>
      <c r="F35" s="387"/>
      <c r="G35" s="385" t="s">
        <v>17</v>
      </c>
      <c r="H35" s="386"/>
      <c r="I35" s="387"/>
      <c r="J35" s="17"/>
    </row>
    <row r="36" spans="1:9" ht="11.25" customHeight="1">
      <c r="A36" s="9" t="s">
        <v>18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362"/>
      <c r="B37" s="354"/>
      <c r="C37" s="354"/>
      <c r="D37" s="354"/>
      <c r="E37" s="354"/>
      <c r="F37" s="354"/>
      <c r="G37" s="354"/>
      <c r="H37" s="354"/>
      <c r="I37" s="35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PageLayoutView="0" workbookViewId="0" topLeftCell="A1">
      <pane ySplit="11" topLeftCell="A12" activePane="bottomLeft" state="frozen"/>
      <selection pane="topLeft" activeCell="H39" sqref="H39"/>
      <selection pane="bottomLeft" activeCell="H39" sqref="H3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39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8" width="12.140625" style="0" hidden="1" customWidth="1"/>
  </cols>
  <sheetData>
    <row r="1" spans="1:13" ht="72.75" customHeight="1">
      <c r="A1" s="410" t="s">
        <v>336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4" ht="12.75">
      <c r="A2" s="351" t="s">
        <v>0</v>
      </c>
      <c r="B2" s="352"/>
      <c r="C2" s="352"/>
      <c r="D2" s="355" t="str">
        <f>'Stavební rozpočet'!D2</f>
        <v>MŠ Velký Borek, energeticky úsporné větrání</v>
      </c>
      <c r="E2" s="430" t="s">
        <v>88</v>
      </c>
      <c r="F2" s="352"/>
      <c r="G2" s="412" t="s">
        <v>77</v>
      </c>
      <c r="H2" s="352"/>
      <c r="I2" s="358" t="s">
        <v>32</v>
      </c>
      <c r="J2" s="358" t="str">
        <f>'Stavební rozpočet'!J2</f>
        <v>Obec Velký Borek</v>
      </c>
      <c r="K2" s="352"/>
      <c r="L2" s="352"/>
      <c r="M2" s="413"/>
      <c r="N2" s="2"/>
    </row>
    <row r="3" spans="1:14" ht="12.75">
      <c r="A3" s="353"/>
      <c r="B3" s="354"/>
      <c r="C3" s="354"/>
      <c r="D3" s="357"/>
      <c r="E3" s="354"/>
      <c r="F3" s="354"/>
      <c r="G3" s="354"/>
      <c r="H3" s="354"/>
      <c r="I3" s="354"/>
      <c r="J3" s="354"/>
      <c r="K3" s="354"/>
      <c r="L3" s="354"/>
      <c r="M3" s="360"/>
      <c r="N3" s="2"/>
    </row>
    <row r="4" spans="1:14" ht="12.75">
      <c r="A4" s="361" t="s">
        <v>1</v>
      </c>
      <c r="B4" s="354"/>
      <c r="C4" s="354"/>
      <c r="D4" s="362" t="str">
        <f>'Stavební rozpočet'!D4</f>
        <v>TZB - Technika prostředí - VZT řízené větrání s rekuperací, chlazení</v>
      </c>
      <c r="E4" s="364" t="s">
        <v>3</v>
      </c>
      <c r="F4" s="354"/>
      <c r="G4" s="362" t="str">
        <f>'Stavební rozpočet'!G4</f>
        <v> </v>
      </c>
      <c r="H4" s="354"/>
      <c r="I4" s="362" t="s">
        <v>33</v>
      </c>
      <c r="J4" s="362" t="str">
        <f>'Stavební rozpočet'!J4</f>
        <v>Ing. Jiří Šír - VISTA</v>
      </c>
      <c r="K4" s="354"/>
      <c r="L4" s="354"/>
      <c r="M4" s="360"/>
      <c r="N4" s="2"/>
    </row>
    <row r="5" spans="1:14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60"/>
      <c r="N5" s="2"/>
    </row>
    <row r="6" spans="1:14" ht="12.75">
      <c r="A6" s="361" t="s">
        <v>2</v>
      </c>
      <c r="B6" s="354"/>
      <c r="C6" s="354"/>
      <c r="D6" s="362" t="str">
        <f>'Stavební rozpočet'!D6</f>
        <v>Školní  č.p. 226, Velký Borek</v>
      </c>
      <c r="E6" s="364" t="s">
        <v>35</v>
      </c>
      <c r="F6" s="354"/>
      <c r="G6" s="388" t="s">
        <v>77</v>
      </c>
      <c r="H6" s="354"/>
      <c r="I6" s="362" t="s">
        <v>34</v>
      </c>
      <c r="J6" s="362" t="str">
        <f>'Stavební rozpočet'!J6</f>
        <v>Vzejde z výběrového řízení</v>
      </c>
      <c r="K6" s="354"/>
      <c r="L6" s="354"/>
      <c r="M6" s="360"/>
      <c r="N6" s="2"/>
    </row>
    <row r="7" spans="1:1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60"/>
      <c r="N7" s="2"/>
    </row>
    <row r="8" spans="1:14" ht="12.75">
      <c r="A8" s="361" t="s">
        <v>4</v>
      </c>
      <c r="B8" s="354"/>
      <c r="C8" s="354"/>
      <c r="D8" s="362">
        <f>'Stavební rozpočet'!D8</f>
        <v>8013189</v>
      </c>
      <c r="E8" s="364" t="s">
        <v>89</v>
      </c>
      <c r="F8" s="354"/>
      <c r="G8" s="388" t="s">
        <v>77</v>
      </c>
      <c r="H8" s="354"/>
      <c r="I8" s="362" t="s">
        <v>36</v>
      </c>
      <c r="J8" s="362" t="str">
        <f>'Stavební rozpočet'!J8</f>
        <v>Ing. Jiří Šír</v>
      </c>
      <c r="K8" s="354"/>
      <c r="L8" s="354"/>
      <c r="M8" s="360"/>
      <c r="N8" s="2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7"/>
      <c r="N9" s="2"/>
    </row>
    <row r="10" spans="1:14" ht="12.75">
      <c r="A10" s="42" t="s">
        <v>102</v>
      </c>
      <c r="B10" s="47" t="s">
        <v>78</v>
      </c>
      <c r="C10" s="47" t="s">
        <v>98</v>
      </c>
      <c r="D10" s="47" t="s">
        <v>83</v>
      </c>
      <c r="E10" s="47" t="s">
        <v>106</v>
      </c>
      <c r="F10" s="52" t="s">
        <v>108</v>
      </c>
      <c r="G10" s="54" t="s">
        <v>109</v>
      </c>
      <c r="H10" s="423" t="s">
        <v>90</v>
      </c>
      <c r="I10" s="424"/>
      <c r="J10" s="425"/>
      <c r="K10" s="423" t="s">
        <v>94</v>
      </c>
      <c r="L10" s="425"/>
      <c r="M10" s="58" t="s">
        <v>111</v>
      </c>
      <c r="N10" s="17"/>
    </row>
    <row r="11" spans="1:24" ht="12.75">
      <c r="A11" s="43" t="s">
        <v>77</v>
      </c>
      <c r="B11" s="48" t="s">
        <v>77</v>
      </c>
      <c r="C11" s="48" t="s">
        <v>77</v>
      </c>
      <c r="D11" s="30" t="s">
        <v>104</v>
      </c>
      <c r="E11" s="48" t="s">
        <v>77</v>
      </c>
      <c r="F11" s="48" t="s">
        <v>77</v>
      </c>
      <c r="G11" s="55" t="s">
        <v>110</v>
      </c>
      <c r="H11" s="34" t="s">
        <v>91</v>
      </c>
      <c r="I11" s="35" t="s">
        <v>21</v>
      </c>
      <c r="J11" s="37" t="s">
        <v>93</v>
      </c>
      <c r="K11" s="34" t="s">
        <v>109</v>
      </c>
      <c r="L11" s="37" t="s">
        <v>93</v>
      </c>
      <c r="M11" s="59" t="s">
        <v>112</v>
      </c>
      <c r="N11" s="17"/>
      <c r="P11" s="57" t="s">
        <v>113</v>
      </c>
      <c r="Q11" s="57" t="s">
        <v>114</v>
      </c>
      <c r="R11" s="57" t="s">
        <v>115</v>
      </c>
      <c r="S11" s="57" t="s">
        <v>116</v>
      </c>
      <c r="T11" s="57" t="s">
        <v>117</v>
      </c>
      <c r="U11" s="57" t="s">
        <v>118</v>
      </c>
      <c r="V11" s="57" t="s">
        <v>119</v>
      </c>
      <c r="W11" s="57" t="s">
        <v>120</v>
      </c>
      <c r="X11" s="57" t="s">
        <v>121</v>
      </c>
    </row>
    <row r="12" spans="1:13" ht="12.75">
      <c r="A12" s="44"/>
      <c r="B12" s="49" t="s">
        <v>81</v>
      </c>
      <c r="C12" s="49"/>
      <c r="D12" s="49" t="s">
        <v>86</v>
      </c>
      <c r="E12" s="44" t="s">
        <v>77</v>
      </c>
      <c r="F12" s="44" t="s">
        <v>77</v>
      </c>
      <c r="G12" s="44" t="s">
        <v>77</v>
      </c>
      <c r="H12" s="63">
        <f>H13</f>
        <v>0</v>
      </c>
      <c r="I12" s="63">
        <f>I13</f>
        <v>0</v>
      </c>
      <c r="J12" s="63">
        <f>H12+I12</f>
        <v>0</v>
      </c>
      <c r="K12" s="56"/>
      <c r="L12" s="63">
        <f>L13</f>
        <v>0</v>
      </c>
      <c r="M12" s="56"/>
    </row>
    <row r="13" spans="1:37" ht="12.75">
      <c r="A13" s="45"/>
      <c r="B13" s="50" t="s">
        <v>81</v>
      </c>
      <c r="C13" s="50" t="s">
        <v>334</v>
      </c>
      <c r="D13" s="50" t="s">
        <v>335</v>
      </c>
      <c r="E13" s="45" t="s">
        <v>77</v>
      </c>
      <c r="F13" s="45" t="s">
        <v>77</v>
      </c>
      <c r="G13" s="45" t="s">
        <v>77</v>
      </c>
      <c r="H13" s="64">
        <f>SUM(H14:H14)</f>
        <v>0</v>
      </c>
      <c r="I13" s="64">
        <f>SUM(I14:I14)</f>
        <v>0</v>
      </c>
      <c r="J13" s="64">
        <f>H13+I13</f>
        <v>0</v>
      </c>
      <c r="K13" s="57"/>
      <c r="L13" s="64">
        <f>SUM(L14:L14)</f>
        <v>0</v>
      </c>
      <c r="M13" s="57"/>
      <c r="Y13" s="57" t="s">
        <v>81</v>
      </c>
      <c r="AI13" s="64">
        <f>SUM(Z14:Z14)</f>
        <v>0</v>
      </c>
      <c r="AJ13" s="64">
        <f>SUM(AA14:AA14)</f>
        <v>0</v>
      </c>
      <c r="AK13" s="64">
        <f>SUM(AB14:AB14)</f>
        <v>0</v>
      </c>
    </row>
    <row r="14" spans="1:48" ht="12.75">
      <c r="A14" s="46" t="s">
        <v>97</v>
      </c>
      <c r="B14" s="46" t="s">
        <v>81</v>
      </c>
      <c r="C14" s="46" t="s">
        <v>337</v>
      </c>
      <c r="D14" s="46" t="s">
        <v>338</v>
      </c>
      <c r="E14" s="46" t="s">
        <v>107</v>
      </c>
      <c r="F14" s="62">
        <f>'Stavební rozpočet'!F122</f>
        <v>1</v>
      </c>
      <c r="G14" s="171">
        <f>'Rekapitulace-'!F40</f>
        <v>0</v>
      </c>
      <c r="H14" s="62">
        <f>F14*AE14</f>
        <v>0</v>
      </c>
      <c r="I14" s="62">
        <f>J14-H14</f>
        <v>0</v>
      </c>
      <c r="J14" s="62">
        <f>F14*G14</f>
        <v>0</v>
      </c>
      <c r="K14" s="62">
        <f>'Stavební rozpočet'!K122</f>
        <v>0</v>
      </c>
      <c r="L14" s="62">
        <f>F14*K14</f>
        <v>0</v>
      </c>
      <c r="M14" s="60"/>
      <c r="P14" s="38">
        <f>IF(AG14="5",J14,0)</f>
        <v>0</v>
      </c>
      <c r="R14" s="38">
        <f>IF(AG14="1",H14,0)</f>
        <v>0</v>
      </c>
      <c r="S14" s="38">
        <f>IF(AG14="1",I14,0)</f>
        <v>0</v>
      </c>
      <c r="T14" s="38">
        <f>IF(AG14="7",H14,0)</f>
        <v>0</v>
      </c>
      <c r="U14" s="38">
        <f>IF(AG14="7",I14,0)</f>
        <v>0</v>
      </c>
      <c r="V14" s="38">
        <f>IF(AG14="2",H14,0)</f>
        <v>0</v>
      </c>
      <c r="W14" s="38">
        <f>IF(AG14="2",I14,0)</f>
        <v>0</v>
      </c>
      <c r="X14" s="38">
        <f>IF(AG14="0",J14,0)</f>
        <v>0</v>
      </c>
      <c r="Y14" s="57" t="s">
        <v>81</v>
      </c>
      <c r="Z14" s="62">
        <f>IF(AD14=0,J14,0)</f>
        <v>0</v>
      </c>
      <c r="AA14" s="62">
        <f>IF(AD14=15,J14,0)</f>
        <v>0</v>
      </c>
      <c r="AB14" s="62">
        <f>IF(AD14=21,J14,0)</f>
        <v>0</v>
      </c>
      <c r="AD14" s="38">
        <v>21</v>
      </c>
      <c r="AE14" s="38">
        <f>'Rekapitulace-'!F38</f>
        <v>0</v>
      </c>
      <c r="AF14" s="38">
        <f>'Rekapitulace-'!F39</f>
        <v>0</v>
      </c>
      <c r="AG14" s="60" t="s">
        <v>159</v>
      </c>
      <c r="AM14" s="38">
        <f>F14*AE14</f>
        <v>0</v>
      </c>
      <c r="AN14" s="38">
        <f>F14*AF14</f>
        <v>0</v>
      </c>
      <c r="AO14" s="61" t="s">
        <v>339</v>
      </c>
      <c r="AP14" s="61" t="s">
        <v>340</v>
      </c>
      <c r="AQ14" s="57" t="s">
        <v>341</v>
      </c>
      <c r="AS14" s="38">
        <f>AM14+AN14</f>
        <v>0</v>
      </c>
      <c r="AT14" s="38">
        <f>G14/(100-AU14)*100</f>
        <v>0</v>
      </c>
      <c r="AU14" s="38">
        <v>0</v>
      </c>
      <c r="AV14" s="38">
        <f>L14</f>
        <v>0</v>
      </c>
    </row>
    <row r="15" spans="1:13" ht="12.75">
      <c r="A15" s="1"/>
      <c r="B15" s="1"/>
      <c r="C15" s="1"/>
      <c r="D15" s="51" t="s">
        <v>97</v>
      </c>
      <c r="E15" s="1"/>
      <c r="F15" s="53">
        <v>1</v>
      </c>
      <c r="G15" s="1"/>
      <c r="H15" s="1"/>
      <c r="I15" s="1"/>
      <c r="J15" s="1"/>
      <c r="K15" s="1"/>
      <c r="L15" s="1"/>
      <c r="M15" s="1"/>
    </row>
    <row r="16" spans="1:13" ht="12.75">
      <c r="A16" s="7"/>
      <c r="B16" s="7"/>
      <c r="C16" s="7"/>
      <c r="D16" s="7"/>
      <c r="E16" s="7"/>
      <c r="F16" s="7"/>
      <c r="G16" s="7"/>
      <c r="H16" s="419" t="s">
        <v>92</v>
      </c>
      <c r="I16" s="356"/>
      <c r="J16" s="41">
        <f>J13</f>
        <v>0</v>
      </c>
      <c r="K16" s="7"/>
      <c r="L16" s="7"/>
      <c r="M16" s="7"/>
    </row>
    <row r="17" ht="11.25" customHeight="1">
      <c r="A17" s="33" t="s">
        <v>18</v>
      </c>
    </row>
    <row r="18" spans="1:13" ht="12.75">
      <c r="A18" s="362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</row>
  </sheetData>
  <sheetProtection/>
  <mergeCells count="29">
    <mergeCell ref="H10:J10"/>
    <mergeCell ref="K10:L10"/>
    <mergeCell ref="H16:I16"/>
    <mergeCell ref="A18:M1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H40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4.7109375" style="75" customWidth="1"/>
    <col min="2" max="2" width="30.00390625" style="75" customWidth="1"/>
    <col min="3" max="3" width="30.7109375" style="75" customWidth="1"/>
    <col min="4" max="4" width="11.7109375" style="75" customWidth="1"/>
    <col min="5" max="5" width="14.7109375" style="75" customWidth="1"/>
    <col min="6" max="6" width="16.7109375" style="75" customWidth="1"/>
    <col min="7" max="8" width="0" style="75" hidden="1" customWidth="1"/>
    <col min="9" max="16384" width="9.140625" style="75" customWidth="1"/>
  </cols>
  <sheetData>
    <row r="3" spans="2:3" ht="15">
      <c r="B3" s="76" t="s">
        <v>402</v>
      </c>
      <c r="C3" s="76"/>
    </row>
    <row r="4" spans="2:3" ht="15">
      <c r="B4" s="76" t="s">
        <v>403</v>
      </c>
      <c r="C4" s="76"/>
    </row>
    <row r="5" spans="2:3" ht="15">
      <c r="B5" s="76" t="s">
        <v>404</v>
      </c>
      <c r="C5" s="76"/>
    </row>
    <row r="6" spans="2:3" ht="15">
      <c r="B6" s="76"/>
      <c r="C6" s="76"/>
    </row>
    <row r="7" s="77" customFormat="1" ht="33.75" customHeight="1">
      <c r="A7" s="77" t="s">
        <v>405</v>
      </c>
    </row>
    <row r="8" spans="1:6" ht="15">
      <c r="A8" s="78" t="s">
        <v>406</v>
      </c>
      <c r="B8" s="78"/>
      <c r="C8" s="78"/>
      <c r="D8" s="78" t="s">
        <v>74</v>
      </c>
      <c r="E8" s="78" t="s">
        <v>407</v>
      </c>
      <c r="F8" s="78" t="s">
        <v>408</v>
      </c>
    </row>
    <row r="9" spans="1:8" ht="15">
      <c r="A9" s="79">
        <v>1</v>
      </c>
      <c r="B9" s="80" t="s">
        <v>409</v>
      </c>
      <c r="C9" s="80"/>
      <c r="D9" s="81"/>
      <c r="E9" s="82"/>
      <c r="F9" s="83">
        <f>'Soupis položek-'!G11</f>
        <v>0</v>
      </c>
      <c r="H9" s="75">
        <v>9</v>
      </c>
    </row>
    <row r="10" spans="1:8" ht="15">
      <c r="A10" s="79">
        <v>2</v>
      </c>
      <c r="B10" s="80" t="s">
        <v>410</v>
      </c>
      <c r="C10" s="80"/>
      <c r="D10" s="81">
        <v>3.6</v>
      </c>
      <c r="E10" s="82">
        <f>SUM(F9:F9)</f>
        <v>0</v>
      </c>
      <c r="F10" s="83">
        <f>D10*E10/100</f>
        <v>0</v>
      </c>
      <c r="H10" s="75">
        <v>10</v>
      </c>
    </row>
    <row r="11" spans="1:8" ht="15">
      <c r="A11" s="79">
        <v>3</v>
      </c>
      <c r="B11" s="80" t="s">
        <v>411</v>
      </c>
      <c r="C11" s="80"/>
      <c r="D11" s="81">
        <v>1</v>
      </c>
      <c r="E11" s="82">
        <f>SUM(F9:F9)</f>
        <v>0</v>
      </c>
      <c r="F11" s="83">
        <f>D11*E11/100</f>
        <v>0</v>
      </c>
      <c r="H11" s="75">
        <v>12</v>
      </c>
    </row>
    <row r="12" spans="1:8" ht="15">
      <c r="A12" s="79">
        <v>4</v>
      </c>
      <c r="B12" s="80" t="s">
        <v>412</v>
      </c>
      <c r="C12" s="80"/>
      <c r="D12" s="81"/>
      <c r="E12" s="82"/>
      <c r="F12" s="83">
        <f>'Soupis položek-'!G27</f>
        <v>0</v>
      </c>
      <c r="H12" s="75">
        <v>13</v>
      </c>
    </row>
    <row r="13" spans="1:8" ht="15">
      <c r="A13" s="79">
        <v>5</v>
      </c>
      <c r="B13" s="80" t="s">
        <v>413</v>
      </c>
      <c r="C13" s="80"/>
      <c r="D13" s="81">
        <v>5</v>
      </c>
      <c r="E13" s="82">
        <f>'Soupis položek-'!N19</f>
        <v>0</v>
      </c>
      <c r="F13" s="83">
        <f>D13*E13/100</f>
        <v>0</v>
      </c>
      <c r="H13" s="75">
        <v>14</v>
      </c>
    </row>
    <row r="14" spans="1:8" ht="15">
      <c r="A14" s="79">
        <v>6</v>
      </c>
      <c r="B14" s="80" t="s">
        <v>414</v>
      </c>
      <c r="C14" s="80"/>
      <c r="D14" s="81">
        <v>3</v>
      </c>
      <c r="E14" s="82">
        <f>SUM(F12:F12)</f>
        <v>0</v>
      </c>
      <c r="F14" s="83">
        <f>D14*E14/100</f>
        <v>0</v>
      </c>
      <c r="H14" s="75">
        <v>15</v>
      </c>
    </row>
    <row r="15" spans="1:8" ht="15">
      <c r="A15" s="79">
        <v>7</v>
      </c>
      <c r="B15" s="80" t="s">
        <v>415</v>
      </c>
      <c r="C15" s="80"/>
      <c r="D15" s="81"/>
      <c r="E15" s="82"/>
      <c r="F15" s="84">
        <f>'Soupis položek-'!G42</f>
        <v>0</v>
      </c>
      <c r="G15" s="85">
        <f>SUM(F12:F14)</f>
        <v>0</v>
      </c>
      <c r="H15" s="75">
        <v>18</v>
      </c>
    </row>
    <row r="16" spans="1:8" ht="15">
      <c r="A16" s="79">
        <v>8</v>
      </c>
      <c r="B16" s="80" t="s">
        <v>416</v>
      </c>
      <c r="C16" s="80"/>
      <c r="D16" s="81">
        <v>6</v>
      </c>
      <c r="E16" s="82">
        <f>SUM(F15:G15)</f>
        <v>0</v>
      </c>
      <c r="F16" s="84">
        <f>D16*E16/100</f>
        <v>0</v>
      </c>
      <c r="H16" s="75">
        <v>22</v>
      </c>
    </row>
    <row r="17" spans="1:8" ht="15">
      <c r="A17" s="86">
        <v>9</v>
      </c>
      <c r="B17" s="87" t="s">
        <v>417</v>
      </c>
      <c r="C17" s="87"/>
      <c r="D17" s="88"/>
      <c r="E17" s="89"/>
      <c r="F17" s="90">
        <f>SUM(F9:F10)</f>
        <v>0</v>
      </c>
      <c r="H17" s="75">
        <v>25</v>
      </c>
    </row>
    <row r="18" spans="1:8" ht="15">
      <c r="A18" s="79">
        <v>10</v>
      </c>
      <c r="B18" s="80" t="s">
        <v>418</v>
      </c>
      <c r="C18" s="80"/>
      <c r="D18" s="81"/>
      <c r="E18" s="82"/>
      <c r="F18" s="91">
        <f>SUM(F11:F16)</f>
        <v>0</v>
      </c>
      <c r="H18" s="75">
        <v>26</v>
      </c>
    </row>
    <row r="19" spans="1:8" ht="15">
      <c r="A19" s="79">
        <v>11</v>
      </c>
      <c r="B19" s="80" t="s">
        <v>419</v>
      </c>
      <c r="C19" s="80"/>
      <c r="D19" s="81"/>
      <c r="E19" s="82"/>
      <c r="F19" s="84">
        <f>'Soupis položek-'!G46</f>
        <v>0</v>
      </c>
      <c r="H19" s="75">
        <v>27</v>
      </c>
    </row>
    <row r="20" spans="1:8" ht="15">
      <c r="A20" s="86">
        <v>12</v>
      </c>
      <c r="B20" s="87" t="s">
        <v>420</v>
      </c>
      <c r="C20" s="87"/>
      <c r="D20" s="88"/>
      <c r="E20" s="89"/>
      <c r="F20" s="90">
        <f>SUM(F17:F19)</f>
        <v>0</v>
      </c>
      <c r="G20" s="85">
        <f>SUM(F20:F20)</f>
        <v>0</v>
      </c>
      <c r="H20" s="75">
        <v>28</v>
      </c>
    </row>
    <row r="21" spans="1:6" ht="15">
      <c r="A21" s="92"/>
      <c r="B21" s="93"/>
      <c r="C21" s="93"/>
      <c r="D21" s="94"/>
      <c r="E21" s="95"/>
      <c r="F21" s="96"/>
    </row>
    <row r="22" spans="1:8" ht="15">
      <c r="A22" s="79">
        <v>13</v>
      </c>
      <c r="B22" s="80" t="s">
        <v>421</v>
      </c>
      <c r="C22" s="80"/>
      <c r="D22" s="81">
        <v>0</v>
      </c>
      <c r="E22" s="82">
        <f>SUM(F18:F18)</f>
        <v>0</v>
      </c>
      <c r="F22" s="91">
        <f>D22*E22/100</f>
        <v>0</v>
      </c>
      <c r="H22" s="75">
        <v>30</v>
      </c>
    </row>
    <row r="23" spans="1:8" ht="15">
      <c r="A23" s="79">
        <v>14</v>
      </c>
      <c r="B23" s="80" t="s">
        <v>422</v>
      </c>
      <c r="C23" s="80"/>
      <c r="D23" s="81">
        <v>0</v>
      </c>
      <c r="E23" s="82">
        <f>SUM(F18:F18)</f>
        <v>0</v>
      </c>
      <c r="F23" s="91">
        <f>D23*E23/100</f>
        <v>0</v>
      </c>
      <c r="H23" s="75">
        <v>31</v>
      </c>
    </row>
    <row r="24" spans="1:8" ht="15">
      <c r="A24" s="86">
        <v>15</v>
      </c>
      <c r="B24" s="87" t="s">
        <v>423</v>
      </c>
      <c r="C24" s="87"/>
      <c r="D24" s="88"/>
      <c r="E24" s="89"/>
      <c r="F24" s="90">
        <f>SUM(F22:F23)</f>
        <v>0</v>
      </c>
      <c r="G24" s="85">
        <f>SUM(F24:F24)</f>
        <v>0</v>
      </c>
      <c r="H24" s="75">
        <v>33</v>
      </c>
    </row>
    <row r="25" spans="1:6" ht="15">
      <c r="A25" s="92"/>
      <c r="B25" s="93"/>
      <c r="C25" s="93"/>
      <c r="D25" s="94"/>
      <c r="E25" s="95"/>
      <c r="F25" s="96"/>
    </row>
    <row r="26" spans="1:8" ht="15">
      <c r="A26" s="79">
        <v>16</v>
      </c>
      <c r="B26" s="80" t="s">
        <v>424</v>
      </c>
      <c r="C26" s="80"/>
      <c r="D26" s="81"/>
      <c r="E26" s="82"/>
      <c r="F26" s="91">
        <v>0</v>
      </c>
      <c r="H26" s="75">
        <v>35</v>
      </c>
    </row>
    <row r="27" spans="1:8" ht="15">
      <c r="A27" s="79">
        <v>17</v>
      </c>
      <c r="B27" s="80" t="s">
        <v>425</v>
      </c>
      <c r="C27" s="80"/>
      <c r="D27" s="81"/>
      <c r="E27" s="82"/>
      <c r="F27" s="91">
        <f>'Soupis položek-'!G65536</f>
        <v>0</v>
      </c>
      <c r="H27" s="75">
        <v>36</v>
      </c>
    </row>
    <row r="28" spans="1:8" ht="15">
      <c r="A28" s="79">
        <v>18</v>
      </c>
      <c r="B28" s="80" t="s">
        <v>426</v>
      </c>
      <c r="C28" s="80"/>
      <c r="D28" s="81"/>
      <c r="E28" s="82"/>
      <c r="F28" s="91">
        <v>0</v>
      </c>
      <c r="H28" s="75">
        <v>39</v>
      </c>
    </row>
    <row r="29" spans="1:8" ht="15">
      <c r="A29" s="86">
        <v>19</v>
      </c>
      <c r="B29" s="87" t="s">
        <v>427</v>
      </c>
      <c r="C29" s="87"/>
      <c r="D29" s="88"/>
      <c r="E29" s="89"/>
      <c r="F29" s="90">
        <f>SUM(F26:F28)</f>
        <v>0</v>
      </c>
      <c r="G29" s="85">
        <f>SUM(F29:F29)</f>
        <v>0</v>
      </c>
      <c r="H29" s="75">
        <v>41</v>
      </c>
    </row>
    <row r="30" spans="1:6" ht="15">
      <c r="A30" s="92"/>
      <c r="B30" s="93"/>
      <c r="C30" s="93"/>
      <c r="D30" s="94"/>
      <c r="E30" s="95"/>
      <c r="F30" s="96"/>
    </row>
    <row r="31" spans="1:8" ht="15">
      <c r="A31" s="79">
        <v>20</v>
      </c>
      <c r="B31" s="80" t="s">
        <v>428</v>
      </c>
      <c r="C31" s="80"/>
      <c r="D31" s="81"/>
      <c r="E31" s="82"/>
      <c r="F31" s="91">
        <v>0</v>
      </c>
      <c r="H31" s="75">
        <v>5</v>
      </c>
    </row>
    <row r="32" spans="1:8" ht="15">
      <c r="A32" s="79">
        <v>21</v>
      </c>
      <c r="B32" s="80" t="s">
        <v>429</v>
      </c>
      <c r="C32" s="80"/>
      <c r="D32" s="81"/>
      <c r="E32" s="82"/>
      <c r="F32" s="91">
        <v>0</v>
      </c>
      <c r="H32" s="75">
        <v>6</v>
      </c>
    </row>
    <row r="33" spans="1:8" ht="15">
      <c r="A33" s="86">
        <v>22</v>
      </c>
      <c r="B33" s="87" t="s">
        <v>430</v>
      </c>
      <c r="C33" s="87"/>
      <c r="D33" s="88"/>
      <c r="E33" s="89"/>
      <c r="F33" s="90">
        <f>SUM(F31:F32)</f>
        <v>0</v>
      </c>
      <c r="G33" s="85">
        <f>SUM(F33:F33)</f>
        <v>0</v>
      </c>
      <c r="H33" s="75">
        <v>7</v>
      </c>
    </row>
    <row r="34" spans="1:6" ht="15.75" thickBot="1">
      <c r="A34" s="92"/>
      <c r="B34" s="93"/>
      <c r="C34" s="93"/>
      <c r="D34" s="94"/>
      <c r="E34" s="95"/>
      <c r="F34" s="96"/>
    </row>
    <row r="35" spans="1:8" ht="15">
      <c r="A35" s="97">
        <v>23</v>
      </c>
      <c r="B35" s="98" t="s">
        <v>431</v>
      </c>
      <c r="C35" s="98"/>
      <c r="D35" s="99"/>
      <c r="E35" s="100"/>
      <c r="F35" s="101">
        <f>SUM(G17:G34)</f>
        <v>0</v>
      </c>
      <c r="H35" s="75">
        <v>44</v>
      </c>
    </row>
    <row r="36" spans="4:6" ht="15">
      <c r="D36" s="102"/>
      <c r="E36" s="103"/>
      <c r="F36" s="85"/>
    </row>
    <row r="37" ht="15.75" thickBot="1"/>
    <row r="38" spans="1:6" ht="16.5" thickBot="1">
      <c r="A38" s="75" t="s">
        <v>77</v>
      </c>
      <c r="B38" s="104" t="s">
        <v>432</v>
      </c>
      <c r="F38" s="105">
        <f>F9+F10+F11+F12+F13+F14</f>
        <v>0</v>
      </c>
    </row>
    <row r="39" spans="1:6" ht="16.5" thickBot="1">
      <c r="A39" s="75" t="s">
        <v>77</v>
      </c>
      <c r="B39" s="106" t="s">
        <v>433</v>
      </c>
      <c r="F39" s="107">
        <f>F15+F16+F19</f>
        <v>0</v>
      </c>
    </row>
    <row r="40" spans="2:6" ht="18.75" thickBot="1">
      <c r="B40" s="108" t="s">
        <v>434</v>
      </c>
      <c r="F40" s="109">
        <f>F38+F39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49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4.140625" style="75" bestFit="1" customWidth="1"/>
    <col min="2" max="2" width="10.00390625" style="75" bestFit="1" customWidth="1"/>
    <col min="3" max="3" width="58.8515625" style="75" customWidth="1"/>
    <col min="4" max="4" width="3.57421875" style="75" bestFit="1" customWidth="1"/>
    <col min="5" max="5" width="8.28125" style="75" bestFit="1" customWidth="1"/>
    <col min="6" max="6" width="11.00390625" style="75" bestFit="1" customWidth="1"/>
    <col min="7" max="7" width="11.57421875" style="75" bestFit="1" customWidth="1"/>
    <col min="8" max="8" width="6.7109375" style="75" bestFit="1" customWidth="1"/>
    <col min="9" max="9" width="10.140625" style="75" bestFit="1" customWidth="1"/>
    <col min="10" max="10" width="5.421875" style="154" hidden="1" customWidth="1"/>
    <col min="11" max="11" width="5.421875" style="75" hidden="1" customWidth="1"/>
    <col min="12" max="12" width="0" style="75" hidden="1" customWidth="1"/>
    <col min="13" max="13" width="4.57421875" style="75" hidden="1" customWidth="1"/>
    <col min="14" max="16384" width="9.140625" style="75" customWidth="1"/>
  </cols>
  <sheetData>
    <row r="3" spans="1:16" ht="15">
      <c r="A3" s="110"/>
      <c r="B3" s="111" t="s">
        <v>402</v>
      </c>
      <c r="C3" s="110"/>
      <c r="D3" s="110"/>
      <c r="E3" s="110"/>
      <c r="F3" s="110"/>
      <c r="G3" s="110"/>
      <c r="H3" s="110"/>
      <c r="I3" s="110"/>
      <c r="J3" s="112"/>
      <c r="K3" s="110"/>
      <c r="L3" s="110"/>
      <c r="M3" s="110"/>
      <c r="N3" s="110"/>
      <c r="O3" s="110"/>
      <c r="P3" s="110"/>
    </row>
    <row r="4" spans="1:16" ht="15">
      <c r="A4" s="110"/>
      <c r="B4" s="111" t="s">
        <v>403</v>
      </c>
      <c r="C4" s="110"/>
      <c r="D4" s="110"/>
      <c r="E4" s="110"/>
      <c r="F4" s="110"/>
      <c r="G4" s="110"/>
      <c r="H4" s="110"/>
      <c r="I4" s="110"/>
      <c r="J4" s="112"/>
      <c r="K4" s="110"/>
      <c r="L4" s="110"/>
      <c r="M4" s="110"/>
      <c r="N4" s="110"/>
      <c r="O4" s="110"/>
      <c r="P4" s="110"/>
    </row>
    <row r="5" spans="1:16" ht="15">
      <c r="A5" s="110"/>
      <c r="B5" s="111" t="s">
        <v>404</v>
      </c>
      <c r="C5" s="110"/>
      <c r="D5" s="110"/>
      <c r="E5" s="110"/>
      <c r="F5" s="110"/>
      <c r="G5" s="110"/>
      <c r="H5" s="110"/>
      <c r="I5" s="110"/>
      <c r="J5" s="112"/>
      <c r="K5" s="110"/>
      <c r="L5" s="110"/>
      <c r="M5" s="110"/>
      <c r="N5" s="110"/>
      <c r="O5" s="110"/>
      <c r="P5" s="110"/>
    </row>
    <row r="6" spans="1:16" ht="15">
      <c r="A6" s="110"/>
      <c r="B6" s="111"/>
      <c r="C6" s="110"/>
      <c r="D6" s="110"/>
      <c r="E6" s="110"/>
      <c r="F6" s="110"/>
      <c r="G6" s="110"/>
      <c r="H6" s="110"/>
      <c r="I6" s="110"/>
      <c r="J6" s="112"/>
      <c r="K6" s="110"/>
      <c r="L6" s="110"/>
      <c r="M6" s="110"/>
      <c r="N6" s="110"/>
      <c r="O6" s="110"/>
      <c r="P6" s="110"/>
    </row>
    <row r="7" spans="1:10" s="113" customFormat="1" ht="33.75" customHeight="1">
      <c r="A7" s="113" t="s">
        <v>435</v>
      </c>
      <c r="J7" s="114"/>
    </row>
    <row r="8" spans="1:13" ht="15">
      <c r="A8" s="115" t="s">
        <v>406</v>
      </c>
      <c r="B8" s="116" t="s">
        <v>436</v>
      </c>
      <c r="C8" s="115" t="s">
        <v>437</v>
      </c>
      <c r="D8" s="115" t="s">
        <v>438</v>
      </c>
      <c r="E8" s="117" t="s">
        <v>439</v>
      </c>
      <c r="F8" s="117" t="s">
        <v>440</v>
      </c>
      <c r="G8" s="118" t="s">
        <v>441</v>
      </c>
      <c r="H8" s="119" t="s">
        <v>442</v>
      </c>
      <c r="I8" s="120" t="s">
        <v>443</v>
      </c>
      <c r="J8" s="121" t="s">
        <v>444</v>
      </c>
      <c r="K8" s="75" t="s">
        <v>445</v>
      </c>
      <c r="L8" s="75" t="s">
        <v>446</v>
      </c>
      <c r="M8" s="75" t="s">
        <v>447</v>
      </c>
    </row>
    <row r="9" spans="1:10" s="122" customFormat="1" ht="19.5" customHeight="1">
      <c r="A9" s="122" t="s">
        <v>448</v>
      </c>
      <c r="B9" s="123"/>
      <c r="E9" s="124"/>
      <c r="F9" s="124"/>
      <c r="G9" s="125"/>
      <c r="H9" s="126"/>
      <c r="I9" s="127"/>
      <c r="J9" s="128"/>
    </row>
    <row r="10" spans="1:13" ht="15">
      <c r="A10" s="129">
        <v>1</v>
      </c>
      <c r="B10" s="130">
        <v>0</v>
      </c>
      <c r="C10" s="131" t="s">
        <v>449</v>
      </c>
      <c r="D10" s="131" t="s">
        <v>450</v>
      </c>
      <c r="E10" s="132">
        <v>1</v>
      </c>
      <c r="F10" s="132">
        <f>'R1-rekepitulace'!F17</f>
        <v>0</v>
      </c>
      <c r="G10" s="133">
        <f>E10*F10</f>
        <v>0</v>
      </c>
      <c r="H10" s="134">
        <v>0</v>
      </c>
      <c r="I10" s="135">
        <f>E10*H10</f>
        <v>0</v>
      </c>
      <c r="J10" s="136" t="s">
        <v>142</v>
      </c>
      <c r="K10" s="75" t="s">
        <v>451</v>
      </c>
      <c r="M10" s="137" t="s">
        <v>452</v>
      </c>
    </row>
    <row r="11" spans="2:13" s="138" customFormat="1" ht="14.25">
      <c r="B11" s="139"/>
      <c r="C11" s="140" t="s">
        <v>453</v>
      </c>
      <c r="D11" s="140"/>
      <c r="E11" s="141"/>
      <c r="F11" s="141"/>
      <c r="G11" s="142">
        <f>SUM(G10:G10)</f>
        <v>0</v>
      </c>
      <c r="H11" s="143"/>
      <c r="I11" s="144">
        <f>SUM(I10:I10)</f>
        <v>0</v>
      </c>
      <c r="J11" s="145"/>
      <c r="M11" s="140" t="s">
        <v>452</v>
      </c>
    </row>
    <row r="12" spans="1:13" s="122" customFormat="1" ht="19.5" customHeight="1">
      <c r="A12" s="122" t="s">
        <v>454</v>
      </c>
      <c r="B12" s="123"/>
      <c r="C12" s="146"/>
      <c r="D12" s="146"/>
      <c r="E12" s="124"/>
      <c r="F12" s="124"/>
      <c r="G12" s="125"/>
      <c r="H12" s="126"/>
      <c r="I12" s="127"/>
      <c r="J12" s="147"/>
      <c r="M12" s="146"/>
    </row>
    <row r="13" spans="1:13" ht="15">
      <c r="A13" s="75">
        <v>2</v>
      </c>
      <c r="B13" s="148">
        <v>101105</v>
      </c>
      <c r="C13" s="137" t="s">
        <v>455</v>
      </c>
      <c r="D13" s="137" t="s">
        <v>305</v>
      </c>
      <c r="E13" s="102">
        <v>235</v>
      </c>
      <c r="F13" s="344">
        <v>0</v>
      </c>
      <c r="G13" s="149">
        <f aca="true" t="shared" si="0" ref="G13:G26">E13*F13</f>
        <v>0</v>
      </c>
      <c r="H13" s="150">
        <v>0</v>
      </c>
      <c r="I13" s="151">
        <f aca="true" t="shared" si="1" ref="I13:I26">E13*H13</f>
        <v>0</v>
      </c>
      <c r="J13" s="152" t="s">
        <v>142</v>
      </c>
      <c r="K13" s="75" t="s">
        <v>451</v>
      </c>
      <c r="M13" s="137" t="s">
        <v>456</v>
      </c>
    </row>
    <row r="14" spans="1:13" ht="15">
      <c r="A14" s="75">
        <v>3</v>
      </c>
      <c r="B14" s="148">
        <v>101106</v>
      </c>
      <c r="C14" s="137" t="s">
        <v>457</v>
      </c>
      <c r="D14" s="137" t="s">
        <v>305</v>
      </c>
      <c r="E14" s="102">
        <v>105</v>
      </c>
      <c r="F14" s="344">
        <v>0</v>
      </c>
      <c r="G14" s="149">
        <f t="shared" si="0"/>
        <v>0</v>
      </c>
      <c r="H14" s="150">
        <v>0</v>
      </c>
      <c r="I14" s="151">
        <f t="shared" si="1"/>
        <v>0</v>
      </c>
      <c r="J14" s="152" t="s">
        <v>142</v>
      </c>
      <c r="K14" s="75" t="s">
        <v>451</v>
      </c>
      <c r="M14" s="137" t="s">
        <v>456</v>
      </c>
    </row>
    <row r="15" spans="1:13" ht="15">
      <c r="A15" s="75">
        <v>4</v>
      </c>
      <c r="B15" s="148">
        <v>101209</v>
      </c>
      <c r="C15" s="137" t="s">
        <v>458</v>
      </c>
      <c r="D15" s="137" t="s">
        <v>305</v>
      </c>
      <c r="E15" s="102">
        <v>10</v>
      </c>
      <c r="F15" s="344">
        <v>0</v>
      </c>
      <c r="G15" s="149">
        <f t="shared" si="0"/>
        <v>0</v>
      </c>
      <c r="H15" s="150">
        <v>0</v>
      </c>
      <c r="I15" s="151">
        <f t="shared" si="1"/>
        <v>0</v>
      </c>
      <c r="J15" s="152" t="s">
        <v>142</v>
      </c>
      <c r="K15" s="75" t="s">
        <v>451</v>
      </c>
      <c r="M15" s="137" t="s">
        <v>456</v>
      </c>
    </row>
    <row r="16" spans="1:13" ht="15">
      <c r="A16" s="75">
        <v>5</v>
      </c>
      <c r="B16" s="148">
        <v>101306</v>
      </c>
      <c r="C16" s="137" t="s">
        <v>459</v>
      </c>
      <c r="D16" s="137" t="s">
        <v>305</v>
      </c>
      <c r="E16" s="102">
        <v>20</v>
      </c>
      <c r="F16" s="344">
        <v>0</v>
      </c>
      <c r="G16" s="149">
        <f t="shared" si="0"/>
        <v>0</v>
      </c>
      <c r="H16" s="150">
        <v>0</v>
      </c>
      <c r="I16" s="151">
        <f t="shared" si="1"/>
        <v>0</v>
      </c>
      <c r="J16" s="152" t="s">
        <v>142</v>
      </c>
      <c r="K16" s="75" t="s">
        <v>451</v>
      </c>
      <c r="M16" s="137" t="s">
        <v>456</v>
      </c>
    </row>
    <row r="17" spans="1:13" ht="15">
      <c r="A17" s="75">
        <v>6</v>
      </c>
      <c r="B17" s="148">
        <v>101308</v>
      </c>
      <c r="C17" s="137" t="s">
        <v>460</v>
      </c>
      <c r="D17" s="137" t="s">
        <v>305</v>
      </c>
      <c r="E17" s="102">
        <v>40</v>
      </c>
      <c r="F17" s="344">
        <v>0</v>
      </c>
      <c r="G17" s="149">
        <f t="shared" si="0"/>
        <v>0</v>
      </c>
      <c r="H17" s="150">
        <v>0</v>
      </c>
      <c r="I17" s="151">
        <f t="shared" si="1"/>
        <v>0</v>
      </c>
      <c r="J17" s="152" t="s">
        <v>142</v>
      </c>
      <c r="K17" s="75" t="s">
        <v>451</v>
      </c>
      <c r="M17" s="137" t="s">
        <v>456</v>
      </c>
    </row>
    <row r="18" spans="1:13" ht="15">
      <c r="A18" s="75">
        <v>7</v>
      </c>
      <c r="B18" s="148">
        <v>171107</v>
      </c>
      <c r="C18" s="137" t="s">
        <v>461</v>
      </c>
      <c r="D18" s="137" t="s">
        <v>305</v>
      </c>
      <c r="E18" s="102">
        <v>40</v>
      </c>
      <c r="F18" s="344">
        <v>0</v>
      </c>
      <c r="G18" s="149">
        <f t="shared" si="0"/>
        <v>0</v>
      </c>
      <c r="H18" s="150">
        <v>0</v>
      </c>
      <c r="I18" s="151">
        <f t="shared" si="1"/>
        <v>0</v>
      </c>
      <c r="J18" s="152" t="s">
        <v>142</v>
      </c>
      <c r="K18" s="75" t="s">
        <v>451</v>
      </c>
      <c r="M18" s="137" t="s">
        <v>456</v>
      </c>
    </row>
    <row r="19" spans="1:14" ht="15">
      <c r="A19" s="75">
        <v>8</v>
      </c>
      <c r="B19" s="148">
        <v>171108</v>
      </c>
      <c r="C19" s="137" t="s">
        <v>462</v>
      </c>
      <c r="D19" s="137" t="s">
        <v>305</v>
      </c>
      <c r="E19" s="102">
        <v>10</v>
      </c>
      <c r="F19" s="344">
        <v>0</v>
      </c>
      <c r="G19" s="149">
        <f t="shared" si="0"/>
        <v>0</v>
      </c>
      <c r="H19" s="150">
        <v>0</v>
      </c>
      <c r="I19" s="151">
        <f t="shared" si="1"/>
        <v>0</v>
      </c>
      <c r="J19" s="152" t="s">
        <v>142</v>
      </c>
      <c r="K19" s="75" t="s">
        <v>451</v>
      </c>
      <c r="M19" s="137" t="s">
        <v>456</v>
      </c>
      <c r="N19" s="149">
        <f>G13+G14+G15+G16+G17+G18+G19</f>
        <v>0</v>
      </c>
    </row>
    <row r="20" spans="1:13" ht="15">
      <c r="A20" s="75">
        <v>9</v>
      </c>
      <c r="B20" s="148">
        <v>311117</v>
      </c>
      <c r="C20" s="137" t="s">
        <v>463</v>
      </c>
      <c r="D20" s="137" t="s">
        <v>450</v>
      </c>
      <c r="E20" s="102">
        <v>4</v>
      </c>
      <c r="F20" s="344">
        <v>0</v>
      </c>
      <c r="G20" s="149">
        <f t="shared" si="0"/>
        <v>0</v>
      </c>
      <c r="H20" s="150">
        <v>0</v>
      </c>
      <c r="I20" s="151">
        <f t="shared" si="1"/>
        <v>0</v>
      </c>
      <c r="J20" s="152" t="s">
        <v>142</v>
      </c>
      <c r="K20" s="75" t="s">
        <v>451</v>
      </c>
      <c r="M20" s="137" t="s">
        <v>456</v>
      </c>
    </row>
    <row r="21" spans="1:13" ht="15">
      <c r="A21" s="75">
        <v>10</v>
      </c>
      <c r="B21" s="148">
        <v>311115</v>
      </c>
      <c r="C21" s="137" t="s">
        <v>464</v>
      </c>
      <c r="D21" s="137" t="s">
        <v>450</v>
      </c>
      <c r="E21" s="102">
        <v>1</v>
      </c>
      <c r="F21" s="344">
        <v>0</v>
      </c>
      <c r="G21" s="149">
        <f t="shared" si="0"/>
        <v>0</v>
      </c>
      <c r="H21" s="150">
        <v>0</v>
      </c>
      <c r="I21" s="151">
        <f t="shared" si="1"/>
        <v>0</v>
      </c>
      <c r="J21" s="152" t="s">
        <v>142</v>
      </c>
      <c r="K21" s="75" t="s">
        <v>451</v>
      </c>
      <c r="M21" s="137" t="s">
        <v>456</v>
      </c>
    </row>
    <row r="22" spans="1:13" ht="15">
      <c r="A22" s="75">
        <v>11</v>
      </c>
      <c r="B22" s="148">
        <v>410021</v>
      </c>
      <c r="C22" s="137" t="s">
        <v>465</v>
      </c>
      <c r="D22" s="137" t="s">
        <v>450</v>
      </c>
      <c r="E22" s="102">
        <v>1</v>
      </c>
      <c r="F22" s="344">
        <v>0</v>
      </c>
      <c r="G22" s="149">
        <f t="shared" si="0"/>
        <v>0</v>
      </c>
      <c r="H22" s="150">
        <v>0</v>
      </c>
      <c r="I22" s="151">
        <f t="shared" si="1"/>
        <v>0</v>
      </c>
      <c r="J22" s="152" t="s">
        <v>142</v>
      </c>
      <c r="K22" s="75" t="s">
        <v>451</v>
      </c>
      <c r="M22" s="137" t="s">
        <v>456</v>
      </c>
    </row>
    <row r="23" spans="1:13" ht="15">
      <c r="A23" s="75">
        <v>12</v>
      </c>
      <c r="B23" s="148">
        <v>525521</v>
      </c>
      <c r="C23" s="137" t="s">
        <v>466</v>
      </c>
      <c r="D23" s="137" t="s">
        <v>450</v>
      </c>
      <c r="E23" s="102">
        <v>12</v>
      </c>
      <c r="F23" s="344">
        <v>0</v>
      </c>
      <c r="G23" s="149">
        <f t="shared" si="0"/>
        <v>0</v>
      </c>
      <c r="H23" s="150">
        <v>0</v>
      </c>
      <c r="I23" s="151">
        <f t="shared" si="1"/>
        <v>0</v>
      </c>
      <c r="J23" s="152" t="s">
        <v>467</v>
      </c>
      <c r="K23" s="75" t="s">
        <v>451</v>
      </c>
      <c r="M23" s="137" t="s">
        <v>456</v>
      </c>
    </row>
    <row r="24" spans="1:13" ht="15">
      <c r="A24" s="75">
        <v>13</v>
      </c>
      <c r="B24" s="148">
        <v>592151</v>
      </c>
      <c r="C24" s="137" t="s">
        <v>468</v>
      </c>
      <c r="D24" s="137" t="s">
        <v>450</v>
      </c>
      <c r="E24" s="102">
        <v>24</v>
      </c>
      <c r="F24" s="344">
        <v>0</v>
      </c>
      <c r="G24" s="149">
        <f t="shared" si="0"/>
        <v>0</v>
      </c>
      <c r="H24" s="150">
        <v>0</v>
      </c>
      <c r="I24" s="151">
        <f t="shared" si="1"/>
        <v>0</v>
      </c>
      <c r="J24" s="152" t="s">
        <v>467</v>
      </c>
      <c r="M24" s="137" t="s">
        <v>456</v>
      </c>
    </row>
    <row r="25" spans="1:13" ht="15">
      <c r="A25" s="75">
        <v>14</v>
      </c>
      <c r="B25" s="148">
        <v>595111</v>
      </c>
      <c r="C25" s="137" t="s">
        <v>469</v>
      </c>
      <c r="D25" s="137" t="s">
        <v>450</v>
      </c>
      <c r="E25" s="102">
        <v>24</v>
      </c>
      <c r="F25" s="344">
        <v>0</v>
      </c>
      <c r="G25" s="149">
        <f t="shared" si="0"/>
        <v>0</v>
      </c>
      <c r="H25" s="150">
        <v>0</v>
      </c>
      <c r="I25" s="151">
        <f t="shared" si="1"/>
        <v>0</v>
      </c>
      <c r="J25" s="152" t="s">
        <v>467</v>
      </c>
      <c r="M25" s="137" t="s">
        <v>456</v>
      </c>
    </row>
    <row r="26" spans="1:13" ht="15">
      <c r="A26" s="129">
        <v>15</v>
      </c>
      <c r="B26" s="130">
        <v>362002</v>
      </c>
      <c r="C26" s="131" t="s">
        <v>470</v>
      </c>
      <c r="D26" s="131" t="s">
        <v>305</v>
      </c>
      <c r="E26" s="132">
        <f>E41+5</f>
        <v>80</v>
      </c>
      <c r="F26" s="345">
        <v>0</v>
      </c>
      <c r="G26" s="133">
        <f t="shared" si="0"/>
        <v>0</v>
      </c>
      <c r="H26" s="134">
        <v>0</v>
      </c>
      <c r="I26" s="135">
        <f t="shared" si="1"/>
        <v>0</v>
      </c>
      <c r="J26" s="136" t="s">
        <v>142</v>
      </c>
      <c r="K26" s="75" t="s">
        <v>451</v>
      </c>
      <c r="M26" s="137" t="s">
        <v>456</v>
      </c>
    </row>
    <row r="27" spans="2:13" s="138" customFormat="1" ht="14.25">
      <c r="B27" s="139"/>
      <c r="C27" s="140" t="s">
        <v>453</v>
      </c>
      <c r="D27" s="140"/>
      <c r="E27" s="141"/>
      <c r="F27" s="141"/>
      <c r="G27" s="142">
        <f>SUM(G13:G26)</f>
        <v>0</v>
      </c>
      <c r="H27" s="143"/>
      <c r="I27" s="144">
        <f>SUM(I13:I26)</f>
        <v>0</v>
      </c>
      <c r="J27" s="145"/>
      <c r="M27" s="140" t="s">
        <v>456</v>
      </c>
    </row>
    <row r="28" spans="1:13" s="122" customFormat="1" ht="19.5" customHeight="1">
      <c r="A28" s="122" t="s">
        <v>471</v>
      </c>
      <c r="B28" s="123"/>
      <c r="C28" s="146"/>
      <c r="D28" s="146"/>
      <c r="E28" s="124"/>
      <c r="F28" s="124"/>
      <c r="G28" s="125"/>
      <c r="H28" s="126"/>
      <c r="I28" s="127"/>
      <c r="J28" s="147"/>
      <c r="M28" s="146"/>
    </row>
    <row r="29" spans="1:13" ht="15">
      <c r="A29" s="75">
        <v>16</v>
      </c>
      <c r="B29" s="148">
        <v>210800103</v>
      </c>
      <c r="C29" s="137" t="s">
        <v>472</v>
      </c>
      <c r="D29" s="137" t="s">
        <v>305</v>
      </c>
      <c r="E29" s="102">
        <v>235</v>
      </c>
      <c r="F29" s="344">
        <v>0</v>
      </c>
      <c r="G29" s="149">
        <f aca="true" t="shared" si="2" ref="G29:G41">E29*F29</f>
        <v>0</v>
      </c>
      <c r="H29" s="150">
        <v>0.057</v>
      </c>
      <c r="I29" s="151">
        <f aca="true" t="shared" si="3" ref="I29:I41">E29*H29</f>
        <v>13.395000000000001</v>
      </c>
      <c r="J29" s="152" t="s">
        <v>142</v>
      </c>
      <c r="M29" s="137" t="s">
        <v>473</v>
      </c>
    </row>
    <row r="30" spans="1:13" ht="15">
      <c r="A30" s="75">
        <v>17</v>
      </c>
      <c r="B30" s="148">
        <v>210800103</v>
      </c>
      <c r="C30" s="137" t="s">
        <v>472</v>
      </c>
      <c r="D30" s="137" t="s">
        <v>305</v>
      </c>
      <c r="E30" s="102">
        <v>105</v>
      </c>
      <c r="F30" s="344">
        <v>0</v>
      </c>
      <c r="G30" s="149">
        <f t="shared" si="2"/>
        <v>0</v>
      </c>
      <c r="H30" s="150">
        <v>0.057</v>
      </c>
      <c r="I30" s="151">
        <f t="shared" si="3"/>
        <v>5.985</v>
      </c>
      <c r="J30" s="152" t="s">
        <v>142</v>
      </c>
      <c r="M30" s="137" t="s">
        <v>473</v>
      </c>
    </row>
    <row r="31" spans="1:13" ht="15">
      <c r="A31" s="75">
        <v>18</v>
      </c>
      <c r="B31" s="148">
        <v>210810053</v>
      </c>
      <c r="C31" s="137" t="s">
        <v>474</v>
      </c>
      <c r="D31" s="137" t="s">
        <v>305</v>
      </c>
      <c r="E31" s="102">
        <v>10</v>
      </c>
      <c r="F31" s="344">
        <v>0</v>
      </c>
      <c r="G31" s="149">
        <f t="shared" si="2"/>
        <v>0</v>
      </c>
      <c r="H31" s="150">
        <v>0.105</v>
      </c>
      <c r="I31" s="151">
        <f t="shared" si="3"/>
        <v>1.05</v>
      </c>
      <c r="J31" s="152" t="s">
        <v>142</v>
      </c>
      <c r="M31" s="137" t="s">
        <v>473</v>
      </c>
    </row>
    <row r="32" spans="1:13" ht="15">
      <c r="A32" s="75">
        <v>19</v>
      </c>
      <c r="B32" s="148">
        <v>210810048</v>
      </c>
      <c r="C32" s="137" t="s">
        <v>475</v>
      </c>
      <c r="D32" s="137" t="s">
        <v>305</v>
      </c>
      <c r="E32" s="102">
        <v>20</v>
      </c>
      <c r="F32" s="344">
        <v>0</v>
      </c>
      <c r="G32" s="149">
        <f t="shared" si="2"/>
        <v>0</v>
      </c>
      <c r="H32" s="150">
        <v>0.09</v>
      </c>
      <c r="I32" s="151">
        <f t="shared" si="3"/>
        <v>1.7999999999999998</v>
      </c>
      <c r="J32" s="152" t="s">
        <v>142</v>
      </c>
      <c r="M32" s="137" t="s">
        <v>473</v>
      </c>
    </row>
    <row r="33" spans="1:13" ht="15">
      <c r="A33" s="75">
        <v>20</v>
      </c>
      <c r="B33" s="148">
        <v>210810052</v>
      </c>
      <c r="C33" s="137" t="s">
        <v>476</v>
      </c>
      <c r="D33" s="137" t="s">
        <v>305</v>
      </c>
      <c r="E33" s="102">
        <v>40</v>
      </c>
      <c r="F33" s="344">
        <v>0</v>
      </c>
      <c r="G33" s="149">
        <f t="shared" si="2"/>
        <v>0</v>
      </c>
      <c r="H33" s="150">
        <v>0.095</v>
      </c>
      <c r="I33" s="151">
        <f t="shared" si="3"/>
        <v>3.8</v>
      </c>
      <c r="J33" s="152" t="s">
        <v>142</v>
      </c>
      <c r="M33" s="137" t="s">
        <v>473</v>
      </c>
    </row>
    <row r="34" spans="1:13" ht="15">
      <c r="A34" s="75">
        <v>21</v>
      </c>
      <c r="B34" s="148">
        <v>210100101</v>
      </c>
      <c r="C34" s="137" t="s">
        <v>477</v>
      </c>
      <c r="D34" s="137" t="s">
        <v>450</v>
      </c>
      <c r="E34" s="102">
        <v>55</v>
      </c>
      <c r="F34" s="344">
        <v>0</v>
      </c>
      <c r="G34" s="149">
        <f t="shared" si="2"/>
        <v>0</v>
      </c>
      <c r="H34" s="150">
        <v>0.067</v>
      </c>
      <c r="I34" s="151">
        <f t="shared" si="3"/>
        <v>3.685</v>
      </c>
      <c r="J34" s="152" t="s">
        <v>142</v>
      </c>
      <c r="K34" s="75" t="s">
        <v>451</v>
      </c>
      <c r="M34" s="137" t="s">
        <v>473</v>
      </c>
    </row>
    <row r="35" spans="1:13" ht="15">
      <c r="A35" s="75">
        <v>22</v>
      </c>
      <c r="B35" s="148">
        <v>210800851</v>
      </c>
      <c r="C35" s="137" t="s">
        <v>478</v>
      </c>
      <c r="D35" s="137" t="s">
        <v>305</v>
      </c>
      <c r="E35" s="102">
        <v>40</v>
      </c>
      <c r="F35" s="344">
        <v>0</v>
      </c>
      <c r="G35" s="149">
        <f t="shared" si="2"/>
        <v>0</v>
      </c>
      <c r="H35" s="150">
        <v>0.091</v>
      </c>
      <c r="I35" s="151">
        <f t="shared" si="3"/>
        <v>3.6399999999999997</v>
      </c>
      <c r="J35" s="152" t="s">
        <v>142</v>
      </c>
      <c r="M35" s="137" t="s">
        <v>473</v>
      </c>
    </row>
    <row r="36" spans="1:13" ht="15">
      <c r="A36" s="75">
        <v>23</v>
      </c>
      <c r="B36" s="148">
        <v>210800851</v>
      </c>
      <c r="C36" s="137" t="s">
        <v>478</v>
      </c>
      <c r="D36" s="137" t="s">
        <v>305</v>
      </c>
      <c r="E36" s="102">
        <v>10</v>
      </c>
      <c r="F36" s="344">
        <v>0</v>
      </c>
      <c r="G36" s="149">
        <f t="shared" si="2"/>
        <v>0</v>
      </c>
      <c r="H36" s="150">
        <v>0.091</v>
      </c>
      <c r="I36" s="151">
        <f t="shared" si="3"/>
        <v>0.9099999999999999</v>
      </c>
      <c r="J36" s="152" t="s">
        <v>142</v>
      </c>
      <c r="M36" s="137" t="s">
        <v>473</v>
      </c>
    </row>
    <row r="37" spans="1:13" ht="15">
      <c r="A37" s="75">
        <v>24</v>
      </c>
      <c r="B37" s="148">
        <v>210010321</v>
      </c>
      <c r="C37" s="137" t="s">
        <v>479</v>
      </c>
      <c r="D37" s="137" t="s">
        <v>450</v>
      </c>
      <c r="E37" s="102">
        <v>4</v>
      </c>
      <c r="F37" s="344">
        <v>0</v>
      </c>
      <c r="G37" s="149">
        <f t="shared" si="2"/>
        <v>0</v>
      </c>
      <c r="H37" s="150">
        <v>0.39</v>
      </c>
      <c r="I37" s="151">
        <f t="shared" si="3"/>
        <v>1.56</v>
      </c>
      <c r="J37" s="152" t="s">
        <v>142</v>
      </c>
      <c r="M37" s="137" t="s">
        <v>473</v>
      </c>
    </row>
    <row r="38" spans="1:13" ht="15">
      <c r="A38" s="75">
        <v>25</v>
      </c>
      <c r="B38" s="148">
        <v>210010301</v>
      </c>
      <c r="C38" s="137" t="s">
        <v>480</v>
      </c>
      <c r="D38" s="137" t="s">
        <v>450</v>
      </c>
      <c r="E38" s="102">
        <v>1</v>
      </c>
      <c r="F38" s="344">
        <v>0</v>
      </c>
      <c r="G38" s="149">
        <f t="shared" si="2"/>
        <v>0</v>
      </c>
      <c r="H38" s="150">
        <v>0.091</v>
      </c>
      <c r="I38" s="151">
        <f t="shared" si="3"/>
        <v>0.091</v>
      </c>
      <c r="J38" s="152" t="s">
        <v>142</v>
      </c>
      <c r="M38" s="137" t="s">
        <v>473</v>
      </c>
    </row>
    <row r="39" spans="1:13" ht="15">
      <c r="A39" s="75">
        <v>26</v>
      </c>
      <c r="B39" s="148">
        <v>210110043</v>
      </c>
      <c r="C39" s="137" t="s">
        <v>481</v>
      </c>
      <c r="D39" s="137" t="s">
        <v>450</v>
      </c>
      <c r="E39" s="102">
        <v>1</v>
      </c>
      <c r="F39" s="344">
        <v>0</v>
      </c>
      <c r="G39" s="149">
        <f t="shared" si="2"/>
        <v>0</v>
      </c>
      <c r="H39" s="150">
        <v>0.17</v>
      </c>
      <c r="I39" s="151">
        <f t="shared" si="3"/>
        <v>0.17</v>
      </c>
      <c r="J39" s="152" t="s">
        <v>142</v>
      </c>
      <c r="M39" s="137" t="s">
        <v>473</v>
      </c>
    </row>
    <row r="40" spans="1:13" ht="15">
      <c r="A40" s="75">
        <v>27</v>
      </c>
      <c r="B40" s="148">
        <v>210190003</v>
      </c>
      <c r="C40" s="137" t="s">
        <v>482</v>
      </c>
      <c r="D40" s="137" t="s">
        <v>450</v>
      </c>
      <c r="E40" s="102">
        <v>1</v>
      </c>
      <c r="F40" s="344">
        <v>0</v>
      </c>
      <c r="G40" s="149">
        <f t="shared" si="2"/>
        <v>0</v>
      </c>
      <c r="H40" s="150">
        <v>1.16</v>
      </c>
      <c r="I40" s="151">
        <f t="shared" si="3"/>
        <v>1.16</v>
      </c>
      <c r="J40" s="152" t="s">
        <v>142</v>
      </c>
      <c r="M40" s="137" t="s">
        <v>473</v>
      </c>
    </row>
    <row r="41" spans="1:13" ht="15">
      <c r="A41" s="129">
        <v>28</v>
      </c>
      <c r="B41" s="130">
        <v>210020133</v>
      </c>
      <c r="C41" s="131" t="s">
        <v>483</v>
      </c>
      <c r="D41" s="131" t="s">
        <v>305</v>
      </c>
      <c r="E41" s="132">
        <f>30+15+30</f>
        <v>75</v>
      </c>
      <c r="F41" s="345">
        <v>0</v>
      </c>
      <c r="G41" s="133">
        <f t="shared" si="2"/>
        <v>0</v>
      </c>
      <c r="H41" s="134">
        <v>0.193</v>
      </c>
      <c r="I41" s="135">
        <f t="shared" si="3"/>
        <v>14.475</v>
      </c>
      <c r="J41" s="136" t="s">
        <v>142</v>
      </c>
      <c r="M41" s="137" t="s">
        <v>473</v>
      </c>
    </row>
    <row r="42" spans="2:13" s="138" customFormat="1" ht="14.25">
      <c r="B42" s="139"/>
      <c r="C42" s="140" t="s">
        <v>453</v>
      </c>
      <c r="D42" s="140"/>
      <c r="E42" s="141"/>
      <c r="F42" s="141"/>
      <c r="G42" s="142">
        <f>SUM(G29:G41)</f>
        <v>0</v>
      </c>
      <c r="H42" s="143"/>
      <c r="I42" s="144">
        <f>SUM(I29:I41)</f>
        <v>51.721000000000004</v>
      </c>
      <c r="J42" s="145"/>
      <c r="M42" s="140" t="s">
        <v>473</v>
      </c>
    </row>
    <row r="43" spans="1:13" s="122" customFormat="1" ht="19.5" customHeight="1">
      <c r="A43" s="122" t="s">
        <v>484</v>
      </c>
      <c r="B43" s="123"/>
      <c r="C43" s="146"/>
      <c r="D43" s="146"/>
      <c r="E43" s="124"/>
      <c r="F43" s="124"/>
      <c r="G43" s="125"/>
      <c r="H43" s="126"/>
      <c r="I43" s="127"/>
      <c r="J43" s="147"/>
      <c r="M43" s="146"/>
    </row>
    <row r="44" spans="1:13" ht="15">
      <c r="A44" s="75">
        <v>29</v>
      </c>
      <c r="B44" s="148">
        <v>218009001</v>
      </c>
      <c r="C44" s="137" t="s">
        <v>485</v>
      </c>
      <c r="D44" s="137" t="s">
        <v>450</v>
      </c>
      <c r="E44" s="102">
        <v>12</v>
      </c>
      <c r="F44" s="344">
        <v>0</v>
      </c>
      <c r="G44" s="149">
        <f>E44*F44</f>
        <v>0</v>
      </c>
      <c r="H44" s="150">
        <v>0</v>
      </c>
      <c r="I44" s="151">
        <f>E44*H44</f>
        <v>0</v>
      </c>
      <c r="J44" s="152" t="s">
        <v>467</v>
      </c>
      <c r="M44" s="137" t="s">
        <v>486</v>
      </c>
    </row>
    <row r="45" spans="1:13" ht="15">
      <c r="A45" s="129">
        <v>30</v>
      </c>
      <c r="B45" s="130">
        <v>218009011</v>
      </c>
      <c r="C45" s="131" t="s">
        <v>487</v>
      </c>
      <c r="D45" s="131" t="s">
        <v>450</v>
      </c>
      <c r="E45" s="132">
        <v>24</v>
      </c>
      <c r="F45" s="345">
        <v>0</v>
      </c>
      <c r="G45" s="133">
        <f>E45*F45</f>
        <v>0</v>
      </c>
      <c r="H45" s="134">
        <v>0</v>
      </c>
      <c r="I45" s="135">
        <f>E45*H45</f>
        <v>0</v>
      </c>
      <c r="J45" s="136" t="s">
        <v>467</v>
      </c>
      <c r="M45" s="137" t="s">
        <v>486</v>
      </c>
    </row>
    <row r="46" spans="3:13" s="138" customFormat="1" ht="14.25">
      <c r="C46" s="138" t="s">
        <v>453</v>
      </c>
      <c r="G46" s="142">
        <f>SUM(G44:G45)</f>
        <v>0</v>
      </c>
      <c r="I46" s="144">
        <f>SUM(I44:I45)</f>
        <v>0</v>
      </c>
      <c r="J46" s="153"/>
      <c r="M46" s="138" t="s">
        <v>486</v>
      </c>
    </row>
    <row r="48" ht="15">
      <c r="A48" s="75" t="s">
        <v>488</v>
      </c>
    </row>
    <row r="49" ht="15">
      <c r="A49" s="75" t="s">
        <v>489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7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9.140625" style="155" customWidth="1"/>
    <col min="2" max="2" width="53.00390625" style="155" customWidth="1"/>
    <col min="3" max="5" width="9.140625" style="155" customWidth="1"/>
    <col min="6" max="6" width="12.140625" style="155" customWidth="1"/>
    <col min="7" max="16384" width="9.140625" style="155" customWidth="1"/>
  </cols>
  <sheetData>
    <row r="1" spans="1:8" ht="15">
      <c r="A1" s="75"/>
      <c r="B1" s="76" t="s">
        <v>402</v>
      </c>
      <c r="C1" s="138"/>
      <c r="D1" s="75"/>
      <c r="E1" s="75"/>
      <c r="F1" s="75"/>
      <c r="G1" s="75"/>
      <c r="H1" s="75"/>
    </row>
    <row r="2" spans="1:8" ht="15">
      <c r="A2" s="75"/>
      <c r="B2" s="76" t="s">
        <v>403</v>
      </c>
      <c r="C2" s="138"/>
      <c r="D2" s="75"/>
      <c r="E2" s="75"/>
      <c r="F2" s="75"/>
      <c r="G2" s="75"/>
      <c r="H2" s="75"/>
    </row>
    <row r="3" spans="1:8" ht="15">
      <c r="A3" s="75"/>
      <c r="B3" s="76" t="s">
        <v>404</v>
      </c>
      <c r="C3" s="138"/>
      <c r="D3" s="75"/>
      <c r="E3" s="75"/>
      <c r="F3" s="75"/>
      <c r="G3" s="75"/>
      <c r="H3" s="75"/>
    </row>
    <row r="4" spans="1:8" ht="15">
      <c r="A4" s="75"/>
      <c r="B4" s="76" t="s">
        <v>490</v>
      </c>
      <c r="C4" s="138"/>
      <c r="D4" s="75"/>
      <c r="E4" s="138"/>
      <c r="F4" s="138"/>
      <c r="G4" s="75"/>
      <c r="H4" s="75"/>
    </row>
    <row r="5" spans="1:8" ht="15">
      <c r="A5" s="75"/>
      <c r="B5" s="138" t="s">
        <v>491</v>
      </c>
      <c r="C5" s="138"/>
      <c r="D5" s="75"/>
      <c r="E5" s="138"/>
      <c r="F5" s="138"/>
      <c r="G5" s="75"/>
      <c r="H5" s="75"/>
    </row>
    <row r="6" spans="1:8" ht="15">
      <c r="A6" s="75"/>
      <c r="B6" s="138"/>
      <c r="C6" s="138"/>
      <c r="D6" s="75"/>
      <c r="E6" s="138"/>
      <c r="F6" s="138"/>
      <c r="G6" s="75"/>
      <c r="H6" s="75"/>
    </row>
    <row r="7" spans="1:8" ht="20.25">
      <c r="A7" s="77" t="s">
        <v>492</v>
      </c>
      <c r="B7" s="77"/>
      <c r="C7" s="77"/>
      <c r="D7" s="77"/>
      <c r="E7" s="77"/>
      <c r="F7" s="77"/>
      <c r="G7" s="77"/>
      <c r="H7" s="77"/>
    </row>
    <row r="8" spans="1:8" ht="15">
      <c r="A8" s="78" t="s">
        <v>406</v>
      </c>
      <c r="B8" s="78"/>
      <c r="C8" s="78"/>
      <c r="D8" s="78"/>
      <c r="E8" s="78"/>
      <c r="F8" s="78" t="s">
        <v>408</v>
      </c>
      <c r="G8" s="75"/>
      <c r="H8" s="75"/>
    </row>
    <row r="9" spans="1:8" ht="15">
      <c r="A9" s="79">
        <v>1</v>
      </c>
      <c r="B9" s="80" t="s">
        <v>493</v>
      </c>
      <c r="C9" s="80"/>
      <c r="D9" s="156"/>
      <c r="E9" s="157">
        <v>0</v>
      </c>
      <c r="F9" s="158">
        <f>'R1-soupis položek'!G22</f>
        <v>0</v>
      </c>
      <c r="G9" s="75">
        <v>6</v>
      </c>
      <c r="H9" s="75"/>
    </row>
    <row r="10" spans="1:8" ht="15">
      <c r="A10" s="79">
        <v>2</v>
      </c>
      <c r="B10" s="80" t="s">
        <v>494</v>
      </c>
      <c r="C10" s="80"/>
      <c r="D10" s="159">
        <v>0.03</v>
      </c>
      <c r="E10" s="157">
        <f>F9</f>
        <v>0</v>
      </c>
      <c r="F10" s="158">
        <f>D10*E10</f>
        <v>0</v>
      </c>
      <c r="G10" s="75">
        <v>7</v>
      </c>
      <c r="H10" s="75"/>
    </row>
    <row r="11" spans="1:8" ht="15">
      <c r="A11" s="86">
        <v>3</v>
      </c>
      <c r="B11" s="87" t="s">
        <v>495</v>
      </c>
      <c r="C11" s="87"/>
      <c r="D11" s="160"/>
      <c r="E11" s="161">
        <v>0</v>
      </c>
      <c r="F11" s="162">
        <f>F9+F10</f>
        <v>0</v>
      </c>
      <c r="G11" s="75">
        <v>8</v>
      </c>
      <c r="H11" s="75"/>
    </row>
    <row r="12" spans="1:8" ht="15">
      <c r="A12" s="92"/>
      <c r="B12" s="93"/>
      <c r="C12" s="93"/>
      <c r="D12" s="163"/>
      <c r="E12" s="164"/>
      <c r="F12" s="165"/>
      <c r="G12" s="75"/>
      <c r="H12" s="75"/>
    </row>
    <row r="13" spans="1:8" ht="15">
      <c r="A13" s="79">
        <v>4</v>
      </c>
      <c r="B13" s="80" t="s">
        <v>496</v>
      </c>
      <c r="C13" s="80"/>
      <c r="D13" s="156">
        <v>5.99</v>
      </c>
      <c r="E13" s="341">
        <v>0</v>
      </c>
      <c r="F13" s="158">
        <f>D13*E13</f>
        <v>0</v>
      </c>
      <c r="G13" s="75">
        <v>10</v>
      </c>
      <c r="H13" s="75"/>
    </row>
    <row r="14" spans="1:8" ht="15">
      <c r="A14" s="86">
        <v>5</v>
      </c>
      <c r="B14" s="87" t="s">
        <v>497</v>
      </c>
      <c r="C14" s="87"/>
      <c r="D14" s="160"/>
      <c r="E14" s="161">
        <v>0</v>
      </c>
      <c r="F14" s="162">
        <f>F11+F13</f>
        <v>0</v>
      </c>
      <c r="G14" s="75">
        <v>17</v>
      </c>
      <c r="H14" s="75"/>
    </row>
    <row r="15" spans="1:8" ht="15">
      <c r="A15" s="92"/>
      <c r="B15" s="93"/>
      <c r="C15" s="93"/>
      <c r="D15" s="163"/>
      <c r="E15" s="164"/>
      <c r="F15" s="165"/>
      <c r="G15" s="75"/>
      <c r="H15" s="75"/>
    </row>
    <row r="16" spans="1:8" ht="15.75" thickBot="1">
      <c r="A16" s="79">
        <v>6</v>
      </c>
      <c r="B16" s="80" t="s">
        <v>498</v>
      </c>
      <c r="C16" s="80"/>
      <c r="D16" s="156">
        <v>1</v>
      </c>
      <c r="E16" s="157">
        <v>0</v>
      </c>
      <c r="F16" s="158"/>
      <c r="G16" s="75">
        <v>18</v>
      </c>
      <c r="H16" s="75"/>
    </row>
    <row r="17" spans="1:8" ht="15">
      <c r="A17" s="97">
        <v>7</v>
      </c>
      <c r="B17" s="98" t="s">
        <v>499</v>
      </c>
      <c r="C17" s="98"/>
      <c r="D17" s="166"/>
      <c r="E17" s="167">
        <v>0</v>
      </c>
      <c r="F17" s="168">
        <f>F14</f>
        <v>0</v>
      </c>
      <c r="G17" s="75">
        <v>21</v>
      </c>
      <c r="H17" s="75"/>
    </row>
    <row r="18" spans="1:8" ht="15">
      <c r="A18" s="75"/>
      <c r="B18" s="75"/>
      <c r="C18" s="75"/>
      <c r="D18" s="169"/>
      <c r="E18" s="149"/>
      <c r="F18" s="170"/>
      <c r="G18" s="75"/>
      <c r="H18" s="75"/>
    </row>
    <row r="19" spans="1:8" ht="15">
      <c r="A19" s="75"/>
      <c r="B19" s="75"/>
      <c r="C19" s="75"/>
      <c r="D19" s="169"/>
      <c r="E19" s="149"/>
      <c r="F19" s="170"/>
      <c r="G19" s="75"/>
      <c r="H19" s="75"/>
    </row>
    <row r="20" spans="1:8" ht="15">
      <c r="A20" s="75" t="s">
        <v>488</v>
      </c>
      <c r="B20" s="75"/>
      <c r="C20" s="75"/>
      <c r="D20" s="169"/>
      <c r="E20" s="149"/>
      <c r="F20" s="170"/>
      <c r="G20" s="75"/>
      <c r="H20" s="75"/>
    </row>
    <row r="21" spans="1:8" ht="15">
      <c r="A21" s="75" t="s">
        <v>489</v>
      </c>
      <c r="B21" s="75"/>
      <c r="C21" s="75"/>
      <c r="D21" s="169"/>
      <c r="E21" s="149"/>
      <c r="F21" s="170"/>
      <c r="G21" s="75"/>
      <c r="H21" s="75"/>
    </row>
    <row r="22" spans="1:8" ht="15">
      <c r="A22" s="75"/>
      <c r="B22" s="75"/>
      <c r="C22" s="75"/>
      <c r="D22" s="169"/>
      <c r="E22" s="149"/>
      <c r="F22" s="170"/>
      <c r="G22" s="75"/>
      <c r="H22" s="75"/>
    </row>
    <row r="23" spans="1:8" ht="15">
      <c r="A23" s="75"/>
      <c r="B23" s="75"/>
      <c r="C23" s="75"/>
      <c r="D23" s="169"/>
      <c r="E23" s="149"/>
      <c r="F23" s="170"/>
      <c r="G23" s="75"/>
      <c r="H23" s="75"/>
    </row>
    <row r="24" spans="1:8" ht="15">
      <c r="A24" s="75"/>
      <c r="B24" s="75"/>
      <c r="C24" s="75"/>
      <c r="D24" s="169"/>
      <c r="E24" s="149"/>
      <c r="F24" s="170"/>
      <c r="G24" s="75"/>
      <c r="H24" s="75"/>
    </row>
  </sheetData>
  <sheetProtection/>
  <printOptions/>
  <pageMargins left="0.7" right="0.7" top="0.787401575" bottom="0.787401575" header="0.3" footer="0.3"/>
  <pageSetup horizontalDpi="600" verticalDpi="600" orientation="portrait" paperSize="9" scale="86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9.140625" style="155" customWidth="1"/>
    <col min="2" max="2" width="23.57421875" style="155" customWidth="1"/>
    <col min="3" max="3" width="38.8515625" style="155" customWidth="1"/>
    <col min="4" max="16384" width="9.140625" style="155" customWidth="1"/>
  </cols>
  <sheetData>
    <row r="1" spans="1:10" ht="15">
      <c r="A1" s="110"/>
      <c r="B1" s="111" t="s">
        <v>402</v>
      </c>
      <c r="C1" s="110"/>
      <c r="D1" s="110"/>
      <c r="E1" s="110"/>
      <c r="F1" s="110"/>
      <c r="G1" s="110"/>
      <c r="H1" s="110"/>
      <c r="I1" s="110"/>
      <c r="J1" s="110"/>
    </row>
    <row r="2" spans="1:10" ht="15">
      <c r="A2" s="110"/>
      <c r="B2" s="111" t="s">
        <v>403</v>
      </c>
      <c r="C2" s="110"/>
      <c r="D2" s="110"/>
      <c r="E2" s="110"/>
      <c r="F2" s="110"/>
      <c r="G2" s="110"/>
      <c r="H2" s="110"/>
      <c r="I2" s="110"/>
      <c r="J2" s="110"/>
    </row>
    <row r="3" spans="1:10" ht="15">
      <c r="A3" s="110"/>
      <c r="B3" s="111" t="s">
        <v>404</v>
      </c>
      <c r="C3" s="110"/>
      <c r="D3" s="110"/>
      <c r="E3" s="110"/>
      <c r="F3" s="110"/>
      <c r="G3" s="110"/>
      <c r="H3" s="110"/>
      <c r="I3" s="110"/>
      <c r="J3" s="110"/>
    </row>
    <row r="4" spans="1:10" ht="15">
      <c r="A4" s="110"/>
      <c r="B4" s="111" t="s">
        <v>490</v>
      </c>
      <c r="C4" s="110"/>
      <c r="D4" s="110"/>
      <c r="E4" s="110"/>
      <c r="F4" s="110"/>
      <c r="G4" s="110"/>
      <c r="H4" s="110"/>
      <c r="I4" s="110"/>
      <c r="J4" s="110"/>
    </row>
    <row r="5" spans="1:10" ht="15">
      <c r="A5" s="110"/>
      <c r="B5" s="111" t="s">
        <v>500</v>
      </c>
      <c r="C5" s="110"/>
      <c r="D5" s="110"/>
      <c r="E5" s="110"/>
      <c r="F5" s="110"/>
      <c r="G5" s="110"/>
      <c r="H5" s="110"/>
      <c r="I5" s="110"/>
      <c r="J5" s="110"/>
    </row>
    <row r="6" spans="1:10" ht="15">
      <c r="A6" s="110"/>
      <c r="B6" s="111"/>
      <c r="C6" s="110"/>
      <c r="D6" s="110"/>
      <c r="E6" s="110"/>
      <c r="F6" s="110"/>
      <c r="G6" s="110"/>
      <c r="H6" s="110"/>
      <c r="I6" s="110"/>
      <c r="J6" s="110"/>
    </row>
    <row r="7" spans="1:10" ht="20.25">
      <c r="A7" s="77" t="s">
        <v>435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">
      <c r="A8" s="115" t="s">
        <v>406</v>
      </c>
      <c r="B8" s="116" t="s">
        <v>436</v>
      </c>
      <c r="C8" s="115" t="s">
        <v>437</v>
      </c>
      <c r="D8" s="115" t="s">
        <v>438</v>
      </c>
      <c r="E8" s="117" t="s">
        <v>439</v>
      </c>
      <c r="F8" s="117" t="s">
        <v>501</v>
      </c>
      <c r="G8" s="118" t="s">
        <v>441</v>
      </c>
      <c r="H8" s="119" t="s">
        <v>442</v>
      </c>
      <c r="I8" s="120" t="s">
        <v>443</v>
      </c>
      <c r="J8" s="75"/>
    </row>
    <row r="9" spans="1:10" ht="15.75">
      <c r="A9" s="122"/>
      <c r="B9" s="123" t="s">
        <v>502</v>
      </c>
      <c r="C9" s="122"/>
      <c r="D9" s="122"/>
      <c r="E9" s="124"/>
      <c r="F9" s="124"/>
      <c r="G9" s="125"/>
      <c r="H9" s="126"/>
      <c r="I9" s="127"/>
      <c r="J9" s="122"/>
    </row>
    <row r="10" spans="1:10" ht="15">
      <c r="A10" s="75">
        <v>1</v>
      </c>
      <c r="B10" s="148">
        <v>764804</v>
      </c>
      <c r="C10" s="137" t="s">
        <v>503</v>
      </c>
      <c r="D10" s="137" t="s">
        <v>450</v>
      </c>
      <c r="E10" s="102">
        <v>1</v>
      </c>
      <c r="F10" s="102">
        <v>0</v>
      </c>
      <c r="G10" s="342">
        <f aca="true" t="shared" si="0" ref="G10:G21">E10*F10</f>
        <v>0</v>
      </c>
      <c r="H10" s="150">
        <v>0.2</v>
      </c>
      <c r="I10" s="151">
        <f aca="true" t="shared" si="1" ref="I10:I21">E10*H10</f>
        <v>0.2</v>
      </c>
      <c r="J10" s="75"/>
    </row>
    <row r="11" spans="1:10" ht="15">
      <c r="A11" s="75">
        <v>2</v>
      </c>
      <c r="B11" s="148">
        <v>781302</v>
      </c>
      <c r="C11" s="137" t="s">
        <v>504</v>
      </c>
      <c r="D11" s="137" t="s">
        <v>450</v>
      </c>
      <c r="E11" s="102">
        <v>3</v>
      </c>
      <c r="F11" s="102">
        <v>0</v>
      </c>
      <c r="G11" s="342">
        <f t="shared" si="0"/>
        <v>0</v>
      </c>
      <c r="H11" s="150">
        <v>0</v>
      </c>
      <c r="I11" s="151">
        <f t="shared" si="1"/>
        <v>0</v>
      </c>
      <c r="J11" s="75"/>
    </row>
    <row r="12" spans="1:10" ht="15">
      <c r="A12" s="75">
        <v>3</v>
      </c>
      <c r="B12" s="148">
        <v>782311</v>
      </c>
      <c r="C12" s="137" t="s">
        <v>505</v>
      </c>
      <c r="D12" s="137" t="s">
        <v>305</v>
      </c>
      <c r="E12" s="102">
        <v>1</v>
      </c>
      <c r="F12" s="102">
        <v>0</v>
      </c>
      <c r="G12" s="342">
        <f t="shared" si="0"/>
        <v>0</v>
      </c>
      <c r="H12" s="150">
        <v>0.49</v>
      </c>
      <c r="I12" s="151">
        <f t="shared" si="1"/>
        <v>0.49</v>
      </c>
      <c r="J12" s="75"/>
    </row>
    <row r="13" spans="1:10" ht="15">
      <c r="A13" s="75">
        <v>4</v>
      </c>
      <c r="B13" s="148">
        <v>788211</v>
      </c>
      <c r="C13" s="137" t="s">
        <v>506</v>
      </c>
      <c r="D13" s="137" t="s">
        <v>303</v>
      </c>
      <c r="E13" s="102">
        <v>1</v>
      </c>
      <c r="F13" s="102">
        <v>0</v>
      </c>
      <c r="G13" s="342">
        <f t="shared" si="0"/>
        <v>0</v>
      </c>
      <c r="H13" s="150">
        <v>0.51</v>
      </c>
      <c r="I13" s="151">
        <f t="shared" si="1"/>
        <v>0.51</v>
      </c>
      <c r="J13" s="75"/>
    </row>
    <row r="14" spans="1:10" ht="15">
      <c r="A14" s="75">
        <v>5</v>
      </c>
      <c r="B14" s="148">
        <v>788311</v>
      </c>
      <c r="C14" s="137" t="s">
        <v>507</v>
      </c>
      <c r="D14" s="137" t="s">
        <v>303</v>
      </c>
      <c r="E14" s="102">
        <v>1</v>
      </c>
      <c r="F14" s="102">
        <v>0</v>
      </c>
      <c r="G14" s="342">
        <f t="shared" si="0"/>
        <v>0</v>
      </c>
      <c r="H14" s="150">
        <v>0.51</v>
      </c>
      <c r="I14" s="151">
        <f t="shared" si="1"/>
        <v>0.51</v>
      </c>
      <c r="J14" s="75"/>
    </row>
    <row r="15" spans="1:10" ht="15">
      <c r="A15" s="75">
        <v>6</v>
      </c>
      <c r="B15" s="148">
        <v>415144</v>
      </c>
      <c r="C15" s="137" t="s">
        <v>508</v>
      </c>
      <c r="D15" s="137" t="s">
        <v>450</v>
      </c>
      <c r="E15" s="102">
        <v>1</v>
      </c>
      <c r="F15" s="102">
        <v>0</v>
      </c>
      <c r="G15" s="342">
        <f t="shared" si="0"/>
        <v>0</v>
      </c>
      <c r="H15" s="150">
        <v>0.56</v>
      </c>
      <c r="I15" s="151">
        <f t="shared" si="1"/>
        <v>0.56</v>
      </c>
      <c r="J15" s="75"/>
    </row>
    <row r="16" spans="1:10" ht="15">
      <c r="A16" s="75">
        <v>7</v>
      </c>
      <c r="B16" s="148">
        <v>434123</v>
      </c>
      <c r="C16" s="137" t="s">
        <v>509</v>
      </c>
      <c r="D16" s="137" t="s">
        <v>450</v>
      </c>
      <c r="E16" s="102">
        <v>7</v>
      </c>
      <c r="F16" s="102">
        <v>0</v>
      </c>
      <c r="G16" s="342">
        <f t="shared" si="0"/>
        <v>0</v>
      </c>
      <c r="H16" s="150">
        <v>0.17</v>
      </c>
      <c r="I16" s="151">
        <f t="shared" si="1"/>
        <v>1.1900000000000002</v>
      </c>
      <c r="J16" s="75"/>
    </row>
    <row r="17" spans="1:10" ht="15">
      <c r="A17" s="75">
        <v>8</v>
      </c>
      <c r="B17" s="148">
        <v>434125</v>
      </c>
      <c r="C17" s="137" t="s">
        <v>510</v>
      </c>
      <c r="D17" s="137" t="s">
        <v>450</v>
      </c>
      <c r="E17" s="102">
        <v>1</v>
      </c>
      <c r="F17" s="102">
        <v>0</v>
      </c>
      <c r="G17" s="342">
        <f t="shared" si="0"/>
        <v>0</v>
      </c>
      <c r="H17" s="150">
        <v>0.17</v>
      </c>
      <c r="I17" s="151">
        <f t="shared" si="1"/>
        <v>0.17</v>
      </c>
      <c r="J17" s="75"/>
    </row>
    <row r="18" spans="1:10" ht="15">
      <c r="A18" s="75">
        <v>9</v>
      </c>
      <c r="B18" s="148">
        <v>435206</v>
      </c>
      <c r="C18" s="137" t="s">
        <v>511</v>
      </c>
      <c r="D18" s="137" t="s">
        <v>450</v>
      </c>
      <c r="E18" s="102">
        <v>2</v>
      </c>
      <c r="F18" s="102">
        <v>0</v>
      </c>
      <c r="G18" s="342">
        <f t="shared" si="0"/>
        <v>0</v>
      </c>
      <c r="H18" s="150">
        <v>0.56</v>
      </c>
      <c r="I18" s="151">
        <f t="shared" si="1"/>
        <v>1.12</v>
      </c>
      <c r="J18" s="75"/>
    </row>
    <row r="19" spans="1:10" ht="15">
      <c r="A19" s="75">
        <v>10</v>
      </c>
      <c r="B19" s="148">
        <v>435209</v>
      </c>
      <c r="C19" s="137" t="s">
        <v>512</v>
      </c>
      <c r="D19" s="137" t="s">
        <v>450</v>
      </c>
      <c r="E19" s="102">
        <v>1</v>
      </c>
      <c r="F19" s="102">
        <v>0</v>
      </c>
      <c r="G19" s="342">
        <f t="shared" si="0"/>
        <v>0</v>
      </c>
      <c r="H19" s="150">
        <v>0.56</v>
      </c>
      <c r="I19" s="151">
        <f t="shared" si="1"/>
        <v>0.56</v>
      </c>
      <c r="J19" s="75"/>
    </row>
    <row r="20" spans="1:10" ht="15">
      <c r="A20" s="75">
        <v>11</v>
      </c>
      <c r="B20" s="148">
        <v>434132</v>
      </c>
      <c r="C20" s="137" t="s">
        <v>513</v>
      </c>
      <c r="D20" s="137" t="s">
        <v>450</v>
      </c>
      <c r="E20" s="102">
        <v>2</v>
      </c>
      <c r="F20" s="102">
        <v>0</v>
      </c>
      <c r="G20" s="342">
        <f t="shared" si="0"/>
        <v>0</v>
      </c>
      <c r="H20" s="150">
        <v>0.16</v>
      </c>
      <c r="I20" s="151">
        <f t="shared" si="1"/>
        <v>0.32</v>
      </c>
      <c r="J20" s="75"/>
    </row>
    <row r="21" spans="1:10" ht="15">
      <c r="A21" s="129">
        <v>12</v>
      </c>
      <c r="B21" s="130">
        <v>435213</v>
      </c>
      <c r="C21" s="131" t="s">
        <v>514</v>
      </c>
      <c r="D21" s="131" t="s">
        <v>450</v>
      </c>
      <c r="E21" s="132">
        <v>1</v>
      </c>
      <c r="F21" s="132">
        <v>0</v>
      </c>
      <c r="G21" s="343">
        <f t="shared" si="0"/>
        <v>0</v>
      </c>
      <c r="H21" s="134">
        <v>0.36</v>
      </c>
      <c r="I21" s="135">
        <f t="shared" si="1"/>
        <v>0.36</v>
      </c>
      <c r="J21" s="75"/>
    </row>
    <row r="22" spans="1:10" ht="15">
      <c r="A22" s="138"/>
      <c r="B22" s="138"/>
      <c r="C22" s="138" t="s">
        <v>515</v>
      </c>
      <c r="D22" s="138"/>
      <c r="E22" s="138"/>
      <c r="F22" s="138"/>
      <c r="G22" s="142">
        <f>SUM(G10:G21)</f>
        <v>0</v>
      </c>
      <c r="H22" s="138"/>
      <c r="I22" s="144">
        <f>SUM(I10:I21)</f>
        <v>5.990000000000001</v>
      </c>
      <c r="J22" s="138"/>
    </row>
    <row r="23" spans="1:10" ht="1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5">
      <c r="A24" s="75" t="s">
        <v>488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5">
      <c r="A25" s="75" t="s">
        <v>489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5"/>
      <c r="J26" s="75"/>
    </row>
  </sheetData>
  <sheetProtection/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35"/>
  <sheetViews>
    <sheetView zoomScalePageLayoutView="0" workbookViewId="0" topLeftCell="A1">
      <selection activeCell="H39" sqref="H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6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34.8515625" style="0" customWidth="1"/>
  </cols>
  <sheetData>
    <row r="1" spans="1:9" ht="72.75" customHeight="1">
      <c r="A1" s="74"/>
      <c r="B1" s="1"/>
      <c r="C1" s="349" t="s">
        <v>342</v>
      </c>
      <c r="D1" s="350"/>
      <c r="E1" s="350"/>
      <c r="F1" s="350"/>
      <c r="G1" s="350"/>
      <c r="H1" s="350"/>
      <c r="I1" s="350"/>
    </row>
    <row r="2" spans="1:10" ht="12.75">
      <c r="A2" s="351" t="s">
        <v>0</v>
      </c>
      <c r="B2" s="352"/>
      <c r="C2" s="355" t="str">
        <f>'Stavební rozpočet'!D2</f>
        <v>MŠ Velký Borek, energeticky úsporné větrání</v>
      </c>
      <c r="D2" s="356"/>
      <c r="E2" s="358" t="s">
        <v>32</v>
      </c>
      <c r="F2" s="358" t="str">
        <f>'Stavební rozpočet'!J2</f>
        <v>Obec Velký Borek</v>
      </c>
      <c r="G2" s="352"/>
      <c r="H2" s="358" t="s">
        <v>52</v>
      </c>
      <c r="I2" s="359" t="s">
        <v>56</v>
      </c>
      <c r="J2" s="2"/>
    </row>
    <row r="3" spans="1:10" ht="12.75">
      <c r="A3" s="353"/>
      <c r="B3" s="354"/>
      <c r="C3" s="357"/>
      <c r="D3" s="357"/>
      <c r="E3" s="354"/>
      <c r="F3" s="354"/>
      <c r="G3" s="354"/>
      <c r="H3" s="354"/>
      <c r="I3" s="360"/>
      <c r="J3" s="2"/>
    </row>
    <row r="4" spans="1:10" ht="12.75">
      <c r="A4" s="361" t="s">
        <v>1</v>
      </c>
      <c r="B4" s="354"/>
      <c r="C4" s="362" t="str">
        <f>'Stavební rozpočet'!D4</f>
        <v>TZB - Technika prostředí - VZT řízené větrání s rekuperací, chlazení</v>
      </c>
      <c r="D4" s="354"/>
      <c r="E4" s="362" t="s">
        <v>33</v>
      </c>
      <c r="F4" s="362" t="str">
        <f>'Stavební rozpočet'!J4</f>
        <v>Ing. Jiří Šír - VISTA</v>
      </c>
      <c r="G4" s="354"/>
      <c r="H4" s="362" t="s">
        <v>52</v>
      </c>
      <c r="I4" s="363" t="s">
        <v>57</v>
      </c>
      <c r="J4" s="2"/>
    </row>
    <row r="5" spans="1:10" ht="12.75">
      <c r="A5" s="353"/>
      <c r="B5" s="354"/>
      <c r="C5" s="354"/>
      <c r="D5" s="354"/>
      <c r="E5" s="354"/>
      <c r="F5" s="354"/>
      <c r="G5" s="354"/>
      <c r="H5" s="354"/>
      <c r="I5" s="360"/>
      <c r="J5" s="2"/>
    </row>
    <row r="6" spans="1:10" ht="12.75">
      <c r="A6" s="361" t="s">
        <v>2</v>
      </c>
      <c r="B6" s="354"/>
      <c r="C6" s="362" t="str">
        <f>'Stavební rozpočet'!D6</f>
        <v>Školní  č.p. 226, Velký Borek</v>
      </c>
      <c r="D6" s="354"/>
      <c r="E6" s="362" t="s">
        <v>34</v>
      </c>
      <c r="F6" s="362" t="str">
        <f>'Stavební rozpočet'!J6</f>
        <v>Vzejde z výběrového řízení</v>
      </c>
      <c r="G6" s="354"/>
      <c r="H6" s="362" t="s">
        <v>52</v>
      </c>
      <c r="I6" s="363"/>
      <c r="J6" s="2"/>
    </row>
    <row r="7" spans="1:10" ht="12.75">
      <c r="A7" s="353"/>
      <c r="B7" s="354"/>
      <c r="C7" s="354"/>
      <c r="D7" s="354"/>
      <c r="E7" s="354"/>
      <c r="F7" s="354"/>
      <c r="G7" s="354"/>
      <c r="H7" s="354"/>
      <c r="I7" s="360"/>
      <c r="J7" s="2"/>
    </row>
    <row r="8" spans="1:10" ht="12.75">
      <c r="A8" s="361" t="s">
        <v>3</v>
      </c>
      <c r="B8" s="354"/>
      <c r="C8" s="362" t="str">
        <f>'Stavební rozpočet'!G4</f>
        <v> </v>
      </c>
      <c r="D8" s="354"/>
      <c r="E8" s="362" t="s">
        <v>35</v>
      </c>
      <c r="F8" s="388" t="s">
        <v>77</v>
      </c>
      <c r="G8" s="354"/>
      <c r="H8" s="364" t="s">
        <v>53</v>
      </c>
      <c r="I8" s="363" t="s">
        <v>165</v>
      </c>
      <c r="J8" s="2"/>
    </row>
    <row r="9" spans="1:10" ht="12.75">
      <c r="A9" s="353"/>
      <c r="B9" s="354"/>
      <c r="C9" s="354"/>
      <c r="D9" s="354"/>
      <c r="E9" s="354"/>
      <c r="F9" s="354"/>
      <c r="G9" s="354"/>
      <c r="H9" s="354"/>
      <c r="I9" s="360"/>
      <c r="J9" s="2"/>
    </row>
    <row r="10" spans="1:10" ht="12.75">
      <c r="A10" s="361" t="s">
        <v>4</v>
      </c>
      <c r="B10" s="354"/>
      <c r="C10" s="362">
        <f>'Stavební rozpočet'!D8</f>
        <v>8013189</v>
      </c>
      <c r="D10" s="354"/>
      <c r="E10" s="362" t="s">
        <v>36</v>
      </c>
      <c r="F10" s="362" t="str">
        <f>'Stavební rozpočet'!J8</f>
        <v>Ing. Jiří Šír</v>
      </c>
      <c r="G10" s="354"/>
      <c r="H10" s="364" t="s">
        <v>54</v>
      </c>
      <c r="I10" s="367">
        <f>'Krycí list rozpočtu'!I10:I11</f>
        <v>43221</v>
      </c>
      <c r="J10" s="2"/>
    </row>
    <row r="11" spans="1:10" ht="12.75">
      <c r="A11" s="365"/>
      <c r="B11" s="366"/>
      <c r="C11" s="366"/>
      <c r="D11" s="366"/>
      <c r="E11" s="366"/>
      <c r="F11" s="366"/>
      <c r="G11" s="366"/>
      <c r="H11" s="366"/>
      <c r="I11" s="389"/>
      <c r="J11" s="2"/>
    </row>
    <row r="12" spans="1:9" ht="23.25" customHeight="1">
      <c r="A12" s="369" t="s">
        <v>5</v>
      </c>
      <c r="B12" s="370"/>
      <c r="C12" s="370"/>
      <c r="D12" s="370"/>
      <c r="E12" s="370"/>
      <c r="F12" s="370"/>
      <c r="G12" s="370"/>
      <c r="H12" s="370"/>
      <c r="I12" s="370"/>
    </row>
    <row r="13" spans="1:10" ht="26.25" customHeight="1">
      <c r="A13" s="4" t="s">
        <v>6</v>
      </c>
      <c r="B13" s="371" t="s">
        <v>19</v>
      </c>
      <c r="C13" s="372"/>
      <c r="D13" s="4" t="s">
        <v>23</v>
      </c>
      <c r="E13" s="371" t="s">
        <v>37</v>
      </c>
      <c r="F13" s="372"/>
      <c r="G13" s="4" t="s">
        <v>38</v>
      </c>
      <c r="H13" s="371" t="s">
        <v>55</v>
      </c>
      <c r="I13" s="372"/>
      <c r="J13" s="2"/>
    </row>
    <row r="14" spans="1:10" ht="15" customHeight="1">
      <c r="A14" s="5" t="s">
        <v>7</v>
      </c>
      <c r="B14" s="10" t="s">
        <v>20</v>
      </c>
      <c r="C14" s="13">
        <f>SUM('Stavební rozpočet (SO 04)'!R12:R148)</f>
        <v>0</v>
      </c>
      <c r="D14" s="373" t="s">
        <v>24</v>
      </c>
      <c r="E14" s="374"/>
      <c r="F14" s="13">
        <v>0</v>
      </c>
      <c r="G14" s="373" t="s">
        <v>39</v>
      </c>
      <c r="H14" s="374"/>
      <c r="I14" s="13">
        <v>0</v>
      </c>
      <c r="J14" s="2"/>
    </row>
    <row r="15" spans="1:10" ht="15" customHeight="1">
      <c r="A15" s="6"/>
      <c r="B15" s="10" t="s">
        <v>21</v>
      </c>
      <c r="C15" s="13">
        <f>SUM('Stavební rozpočet (SO 04)'!S12:S148)</f>
        <v>0</v>
      </c>
      <c r="D15" s="373" t="s">
        <v>25</v>
      </c>
      <c r="E15" s="374"/>
      <c r="F15" s="13">
        <v>0</v>
      </c>
      <c r="G15" s="373" t="s">
        <v>40</v>
      </c>
      <c r="H15" s="374"/>
      <c r="I15" s="13">
        <v>0</v>
      </c>
      <c r="J15" s="2"/>
    </row>
    <row r="16" spans="1:10" ht="15" customHeight="1">
      <c r="A16" s="5" t="s">
        <v>8</v>
      </c>
      <c r="B16" s="10" t="s">
        <v>20</v>
      </c>
      <c r="C16" s="13">
        <f>SUM('Stavební rozpočet (SO 04)'!T12:T148)</f>
        <v>0</v>
      </c>
      <c r="D16" s="373" t="s">
        <v>26</v>
      </c>
      <c r="E16" s="374"/>
      <c r="F16" s="13">
        <v>0</v>
      </c>
      <c r="G16" s="373" t="s">
        <v>41</v>
      </c>
      <c r="H16" s="374"/>
      <c r="I16" s="13">
        <v>0</v>
      </c>
      <c r="J16" s="2"/>
    </row>
    <row r="17" spans="1:10" ht="15" customHeight="1">
      <c r="A17" s="6"/>
      <c r="B17" s="10" t="s">
        <v>21</v>
      </c>
      <c r="C17" s="13">
        <f>SUM('Stavební rozpočet (SO 04)'!U12:U148)</f>
        <v>0</v>
      </c>
      <c r="D17" s="373"/>
      <c r="E17" s="374"/>
      <c r="F17" s="14"/>
      <c r="G17" s="373" t="s">
        <v>42</v>
      </c>
      <c r="H17" s="374"/>
      <c r="I17" s="13">
        <v>0</v>
      </c>
      <c r="J17" s="2"/>
    </row>
    <row r="18" spans="1:10" ht="15" customHeight="1">
      <c r="A18" s="5" t="s">
        <v>9</v>
      </c>
      <c r="B18" s="10" t="s">
        <v>20</v>
      </c>
      <c r="C18" s="13">
        <f>SUM('Stavební rozpočet (SO 04)'!V12:V148)</f>
        <v>0</v>
      </c>
      <c r="D18" s="373"/>
      <c r="E18" s="374"/>
      <c r="F18" s="14"/>
      <c r="G18" s="373" t="s">
        <v>43</v>
      </c>
      <c r="H18" s="374"/>
      <c r="I18" s="13">
        <v>0</v>
      </c>
      <c r="J18" s="2"/>
    </row>
    <row r="19" spans="1:10" ht="15" customHeight="1">
      <c r="A19" s="6"/>
      <c r="B19" s="10" t="s">
        <v>21</v>
      </c>
      <c r="C19" s="13">
        <f>SUM('Stavební rozpočet (SO 04)'!W12:W148)</f>
        <v>0</v>
      </c>
      <c r="D19" s="373"/>
      <c r="E19" s="374"/>
      <c r="F19" s="14"/>
      <c r="G19" s="373" t="s">
        <v>44</v>
      </c>
      <c r="H19" s="374"/>
      <c r="I19" s="13">
        <v>0</v>
      </c>
      <c r="J19" s="2"/>
    </row>
    <row r="20" spans="1:10" ht="15" customHeight="1">
      <c r="A20" s="375" t="s">
        <v>10</v>
      </c>
      <c r="B20" s="376"/>
      <c r="C20" s="13">
        <f>SUM('Stavební rozpočet (SO 04)'!X12:X148)</f>
        <v>0</v>
      </c>
      <c r="D20" s="373"/>
      <c r="E20" s="374"/>
      <c r="F20" s="14"/>
      <c r="G20" s="373"/>
      <c r="H20" s="374"/>
      <c r="I20" s="14"/>
      <c r="J20" s="2"/>
    </row>
    <row r="21" spans="1:10" ht="15" customHeight="1">
      <c r="A21" s="375" t="s">
        <v>11</v>
      </c>
      <c r="B21" s="376"/>
      <c r="C21" s="13">
        <f>SUM('Stavební rozpočet (SO 04)'!P12:P148)</f>
        <v>0</v>
      </c>
      <c r="D21" s="373"/>
      <c r="E21" s="374"/>
      <c r="F21" s="14"/>
      <c r="G21" s="373"/>
      <c r="H21" s="374"/>
      <c r="I21" s="14"/>
      <c r="J21" s="2"/>
    </row>
    <row r="22" spans="1:10" ht="16.5" customHeight="1">
      <c r="A22" s="375" t="s">
        <v>12</v>
      </c>
      <c r="B22" s="376"/>
      <c r="C22" s="13">
        <f>SUM(C14:C21)</f>
        <v>0</v>
      </c>
      <c r="D22" s="375" t="s">
        <v>27</v>
      </c>
      <c r="E22" s="376"/>
      <c r="F22" s="13">
        <f>SUM(F14:F21)</f>
        <v>0</v>
      </c>
      <c r="G22" s="375" t="s">
        <v>45</v>
      </c>
      <c r="H22" s="376"/>
      <c r="I22" s="13">
        <f>SUM(I14:I21)</f>
        <v>0</v>
      </c>
      <c r="J22" s="2"/>
    </row>
    <row r="23" spans="1:10" ht="15" customHeight="1">
      <c r="A23" s="7"/>
      <c r="B23" s="7"/>
      <c r="C23" s="7"/>
      <c r="D23" s="7"/>
      <c r="E23" s="7"/>
      <c r="F23" s="12"/>
      <c r="G23" s="375" t="s">
        <v>47</v>
      </c>
      <c r="H23" s="376"/>
      <c r="I23" s="13">
        <v>0</v>
      </c>
      <c r="J23" s="2"/>
    </row>
    <row r="24" spans="1:9" ht="12.75">
      <c r="A24" s="1"/>
      <c r="B24" s="1"/>
      <c r="C24" s="1"/>
      <c r="G24" s="7"/>
      <c r="H24" s="7"/>
      <c r="I24" s="7"/>
    </row>
    <row r="25" spans="1:9" ht="15" customHeight="1">
      <c r="A25" s="377" t="s">
        <v>13</v>
      </c>
      <c r="B25" s="378"/>
      <c r="C25" s="18">
        <f>SUM('Stavební rozpočet (SO 04)'!Z12:Z148)</f>
        <v>0</v>
      </c>
      <c r="D25" s="3"/>
      <c r="E25" s="1"/>
      <c r="F25" s="1"/>
      <c r="G25" s="1"/>
      <c r="H25" s="1"/>
      <c r="I25" s="1"/>
    </row>
    <row r="26" spans="1:10" ht="15" customHeight="1">
      <c r="A26" s="377" t="s">
        <v>14</v>
      </c>
      <c r="B26" s="378"/>
      <c r="C26" s="18">
        <f>SUM('Stavební rozpočet (SO 04)'!AA12:AA148)</f>
        <v>0</v>
      </c>
      <c r="D26" s="377" t="s">
        <v>29</v>
      </c>
      <c r="E26" s="378"/>
      <c r="F26" s="18">
        <f>ROUND(C26*(15/100),2)</f>
        <v>0</v>
      </c>
      <c r="G26" s="377" t="s">
        <v>49</v>
      </c>
      <c r="H26" s="378"/>
      <c r="I26" s="18">
        <f>SUM(C25:C27)</f>
        <v>0</v>
      </c>
      <c r="J26" s="2"/>
    </row>
    <row r="27" spans="1:10" ht="15" customHeight="1">
      <c r="A27" s="377" t="s">
        <v>15</v>
      </c>
      <c r="B27" s="378"/>
      <c r="C27" s="18">
        <f>SUM('Stavební rozpočet (SO 04)'!AB12:AB148)+(F22+I22+F23+I23+I24)</f>
        <v>0</v>
      </c>
      <c r="D27" s="377" t="s">
        <v>30</v>
      </c>
      <c r="E27" s="378"/>
      <c r="F27" s="18">
        <f>ROUND(C27*(21/100),2)</f>
        <v>0</v>
      </c>
      <c r="G27" s="377" t="s">
        <v>50</v>
      </c>
      <c r="H27" s="378"/>
      <c r="I27" s="18">
        <f>SUM(F26:F27)+I26</f>
        <v>0</v>
      </c>
      <c r="J27" s="2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10" ht="14.25" customHeight="1">
      <c r="A29" s="379" t="s">
        <v>16</v>
      </c>
      <c r="B29" s="380"/>
      <c r="C29" s="381"/>
      <c r="D29" s="379" t="s">
        <v>31</v>
      </c>
      <c r="E29" s="380"/>
      <c r="F29" s="381"/>
      <c r="G29" s="379" t="s">
        <v>51</v>
      </c>
      <c r="H29" s="380"/>
      <c r="I29" s="381"/>
      <c r="J29" s="17"/>
    </row>
    <row r="30" spans="1:10" ht="14.25" customHeight="1">
      <c r="A30" s="382"/>
      <c r="B30" s="383"/>
      <c r="C30" s="384"/>
      <c r="D30" s="382"/>
      <c r="E30" s="383"/>
      <c r="F30" s="384"/>
      <c r="G30" s="382"/>
      <c r="H30" s="383"/>
      <c r="I30" s="384"/>
      <c r="J30" s="17"/>
    </row>
    <row r="31" spans="1:10" ht="14.25" customHeight="1">
      <c r="A31" s="382"/>
      <c r="B31" s="383"/>
      <c r="C31" s="384"/>
      <c r="D31" s="382"/>
      <c r="E31" s="383"/>
      <c r="F31" s="384"/>
      <c r="G31" s="382"/>
      <c r="H31" s="383"/>
      <c r="I31" s="384"/>
      <c r="J31" s="17"/>
    </row>
    <row r="32" spans="1:10" ht="14.25" customHeight="1">
      <c r="A32" s="382"/>
      <c r="B32" s="383"/>
      <c r="C32" s="384"/>
      <c r="D32" s="382"/>
      <c r="E32" s="383"/>
      <c r="F32" s="384"/>
      <c r="G32" s="382"/>
      <c r="H32" s="383"/>
      <c r="I32" s="384"/>
      <c r="J32" s="17"/>
    </row>
    <row r="33" spans="1:10" ht="14.25" customHeight="1">
      <c r="A33" s="385" t="s">
        <v>17</v>
      </c>
      <c r="B33" s="386"/>
      <c r="C33" s="387"/>
      <c r="D33" s="385" t="s">
        <v>17</v>
      </c>
      <c r="E33" s="386"/>
      <c r="F33" s="387"/>
      <c r="G33" s="385" t="s">
        <v>17</v>
      </c>
      <c r="H33" s="386"/>
      <c r="I33" s="387"/>
      <c r="J33" s="17"/>
    </row>
    <row r="34" spans="1:9" ht="11.25" customHeight="1">
      <c r="A34" s="9" t="s">
        <v>18</v>
      </c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362"/>
      <c r="B35" s="354"/>
      <c r="C35" s="354"/>
      <c r="D35" s="354"/>
      <c r="E35" s="354"/>
      <c r="F35" s="354"/>
      <c r="G35" s="354"/>
      <c r="H35" s="354"/>
      <c r="I35" s="354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zoomScalePageLayoutView="0" workbookViewId="0" topLeftCell="A1">
      <pane ySplit="11" topLeftCell="A12" activePane="bottomLeft" state="frozen"/>
      <selection pane="topLeft" activeCell="H39" sqref="H39"/>
      <selection pane="bottomLeft" activeCell="H39" sqref="H3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19.5742187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410" t="s">
        <v>345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4" ht="12.75">
      <c r="A2" s="351" t="s">
        <v>0</v>
      </c>
      <c r="B2" s="352"/>
      <c r="C2" s="352"/>
      <c r="D2" s="355" t="str">
        <f>'Stavební rozpočet'!D2</f>
        <v>MŠ Velký Borek, energeticky úsporné větrání</v>
      </c>
      <c r="E2" s="430" t="s">
        <v>88</v>
      </c>
      <c r="F2" s="352"/>
      <c r="G2" s="412" t="s">
        <v>77</v>
      </c>
      <c r="H2" s="352"/>
      <c r="I2" s="358" t="s">
        <v>32</v>
      </c>
      <c r="J2" s="358" t="str">
        <f>'Stavební rozpočet'!J2</f>
        <v>Obec Velký Borek</v>
      </c>
      <c r="K2" s="352"/>
      <c r="L2" s="352"/>
      <c r="M2" s="413"/>
      <c r="N2" s="2"/>
    </row>
    <row r="3" spans="1:14" ht="12.75">
      <c r="A3" s="353"/>
      <c r="B3" s="354"/>
      <c r="C3" s="354"/>
      <c r="D3" s="357"/>
      <c r="E3" s="354"/>
      <c r="F3" s="354"/>
      <c r="G3" s="354"/>
      <c r="H3" s="354"/>
      <c r="I3" s="354"/>
      <c r="J3" s="354"/>
      <c r="K3" s="354"/>
      <c r="L3" s="354"/>
      <c r="M3" s="360"/>
      <c r="N3" s="2"/>
    </row>
    <row r="4" spans="1:14" ht="12.75">
      <c r="A4" s="361" t="s">
        <v>1</v>
      </c>
      <c r="B4" s="354"/>
      <c r="C4" s="354"/>
      <c r="D4" s="362" t="str">
        <f>'Stavební rozpočet'!D4</f>
        <v>TZB - Technika prostředí - VZT řízené větrání s rekuperací, chlazení</v>
      </c>
      <c r="E4" s="364" t="s">
        <v>3</v>
      </c>
      <c r="F4" s="354"/>
      <c r="G4" s="362" t="str">
        <f>'Stavební rozpočet'!G4</f>
        <v> </v>
      </c>
      <c r="H4" s="354"/>
      <c r="I4" s="362" t="s">
        <v>33</v>
      </c>
      <c r="J4" s="362" t="str">
        <f>'Stavební rozpočet'!J4</f>
        <v>Ing. Jiří Šír - VISTA</v>
      </c>
      <c r="K4" s="354"/>
      <c r="L4" s="354"/>
      <c r="M4" s="360"/>
      <c r="N4" s="2"/>
    </row>
    <row r="5" spans="1:14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60"/>
      <c r="N5" s="2"/>
    </row>
    <row r="6" spans="1:14" ht="12.75">
      <c r="A6" s="361" t="s">
        <v>2</v>
      </c>
      <c r="B6" s="354"/>
      <c r="C6" s="354"/>
      <c r="D6" s="362" t="str">
        <f>'Stavební rozpočet'!D6</f>
        <v>Školní  č.p. 226, Velký Borek</v>
      </c>
      <c r="E6" s="364" t="s">
        <v>35</v>
      </c>
      <c r="F6" s="354"/>
      <c r="G6" s="388" t="s">
        <v>77</v>
      </c>
      <c r="H6" s="354"/>
      <c r="I6" s="362" t="s">
        <v>34</v>
      </c>
      <c r="J6" s="362" t="str">
        <f>'Stavební rozpočet'!J6</f>
        <v>Vzejde z výběrového řízení</v>
      </c>
      <c r="K6" s="354"/>
      <c r="L6" s="354"/>
      <c r="M6" s="360"/>
      <c r="N6" s="2"/>
    </row>
    <row r="7" spans="1:1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60"/>
      <c r="N7" s="2"/>
    </row>
    <row r="8" spans="1:14" ht="12.75">
      <c r="A8" s="361" t="s">
        <v>4</v>
      </c>
      <c r="B8" s="354"/>
      <c r="C8" s="354"/>
      <c r="D8" s="362">
        <f>'Stavební rozpočet'!D8</f>
        <v>8013189</v>
      </c>
      <c r="E8" s="364" t="s">
        <v>89</v>
      </c>
      <c r="F8" s="354"/>
      <c r="G8" s="388" t="s">
        <v>77</v>
      </c>
      <c r="H8" s="354"/>
      <c r="I8" s="362" t="s">
        <v>36</v>
      </c>
      <c r="J8" s="362" t="str">
        <f>'Stavební rozpočet'!J8</f>
        <v>Ing. Jiří Šír</v>
      </c>
      <c r="K8" s="354"/>
      <c r="L8" s="354"/>
      <c r="M8" s="360"/>
      <c r="N8" s="2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7"/>
      <c r="N9" s="2"/>
    </row>
    <row r="10" spans="1:14" ht="12.75">
      <c r="A10" s="42" t="s">
        <v>102</v>
      </c>
      <c r="B10" s="47" t="s">
        <v>78</v>
      </c>
      <c r="C10" s="47" t="s">
        <v>98</v>
      </c>
      <c r="D10" s="47" t="s">
        <v>83</v>
      </c>
      <c r="E10" s="47" t="s">
        <v>106</v>
      </c>
      <c r="F10" s="52" t="s">
        <v>108</v>
      </c>
      <c r="G10" s="54" t="s">
        <v>109</v>
      </c>
      <c r="H10" s="423" t="s">
        <v>90</v>
      </c>
      <c r="I10" s="424"/>
      <c r="J10" s="425"/>
      <c r="K10" s="423" t="s">
        <v>94</v>
      </c>
      <c r="L10" s="425"/>
      <c r="M10" s="58" t="s">
        <v>111</v>
      </c>
      <c r="N10" s="17"/>
    </row>
    <row r="11" spans="1:24" ht="12.75">
      <c r="A11" s="43" t="s">
        <v>77</v>
      </c>
      <c r="B11" s="48" t="s">
        <v>77</v>
      </c>
      <c r="C11" s="48" t="s">
        <v>77</v>
      </c>
      <c r="D11" s="30" t="s">
        <v>104</v>
      </c>
      <c r="E11" s="48" t="s">
        <v>77</v>
      </c>
      <c r="F11" s="48" t="s">
        <v>77</v>
      </c>
      <c r="G11" s="55" t="s">
        <v>110</v>
      </c>
      <c r="H11" s="34" t="s">
        <v>91</v>
      </c>
      <c r="I11" s="35" t="s">
        <v>21</v>
      </c>
      <c r="J11" s="37" t="s">
        <v>93</v>
      </c>
      <c r="K11" s="34" t="s">
        <v>109</v>
      </c>
      <c r="L11" s="37" t="s">
        <v>93</v>
      </c>
      <c r="M11" s="59" t="s">
        <v>112</v>
      </c>
      <c r="N11" s="17"/>
      <c r="P11" s="57" t="s">
        <v>113</v>
      </c>
      <c r="Q11" s="57" t="s">
        <v>114</v>
      </c>
      <c r="R11" s="57" t="s">
        <v>115</v>
      </c>
      <c r="S11" s="57" t="s">
        <v>116</v>
      </c>
      <c r="T11" s="57" t="s">
        <v>117</v>
      </c>
      <c r="U11" s="57" t="s">
        <v>118</v>
      </c>
      <c r="V11" s="57" t="s">
        <v>119</v>
      </c>
      <c r="W11" s="57" t="s">
        <v>120</v>
      </c>
      <c r="X11" s="57" t="s">
        <v>121</v>
      </c>
    </row>
    <row r="12" spans="1:13" ht="12.75">
      <c r="A12" s="44"/>
      <c r="B12" s="49" t="s">
        <v>82</v>
      </c>
      <c r="C12" s="49"/>
      <c r="D12" s="49" t="s">
        <v>87</v>
      </c>
      <c r="E12" s="44" t="s">
        <v>77</v>
      </c>
      <c r="F12" s="44" t="s">
        <v>77</v>
      </c>
      <c r="G12" s="44" t="s">
        <v>77</v>
      </c>
      <c r="H12" s="63">
        <f>H13+H29</f>
        <v>0</v>
      </c>
      <c r="I12" s="63">
        <f>I13+I29</f>
        <v>0</v>
      </c>
      <c r="J12" s="63">
        <f>H12+I12</f>
        <v>0</v>
      </c>
      <c r="K12" s="56"/>
      <c r="L12" s="63">
        <f>L13+L29</f>
        <v>0</v>
      </c>
      <c r="M12" s="56"/>
    </row>
    <row r="13" spans="1:37" ht="12.75">
      <c r="A13" s="45"/>
      <c r="B13" s="50" t="s">
        <v>82</v>
      </c>
      <c r="C13" s="50" t="s">
        <v>343</v>
      </c>
      <c r="D13" s="50" t="s">
        <v>344</v>
      </c>
      <c r="E13" s="45" t="s">
        <v>77</v>
      </c>
      <c r="F13" s="45" t="s">
        <v>77</v>
      </c>
      <c r="G13" s="45" t="s">
        <v>77</v>
      </c>
      <c r="H13" s="64">
        <f>SUM(H14:H27)</f>
        <v>0</v>
      </c>
      <c r="I13" s="64">
        <f>SUM(I14:I27)</f>
        <v>0</v>
      </c>
      <c r="J13" s="64">
        <f>H13+I13</f>
        <v>0</v>
      </c>
      <c r="K13" s="57"/>
      <c r="L13" s="64">
        <f>SUM(L14:L27)</f>
        <v>0</v>
      </c>
      <c r="M13" s="57"/>
      <c r="Y13" s="57" t="s">
        <v>82</v>
      </c>
      <c r="AI13" s="64">
        <f>SUM(Z14:Z27)</f>
        <v>0</v>
      </c>
      <c r="AJ13" s="64">
        <f>SUM(AA14:AA27)</f>
        <v>0</v>
      </c>
      <c r="AK13" s="64">
        <f>SUM(AB14:AB27)</f>
        <v>0</v>
      </c>
    </row>
    <row r="14" spans="1:48" ht="12.75">
      <c r="A14" s="46" t="s">
        <v>97</v>
      </c>
      <c r="B14" s="46" t="s">
        <v>82</v>
      </c>
      <c r="C14" s="46" t="s">
        <v>346</v>
      </c>
      <c r="D14" s="46" t="s">
        <v>355</v>
      </c>
      <c r="E14" s="46" t="s">
        <v>303</v>
      </c>
      <c r="F14" s="62">
        <f>'Stavební rozpočet'!F126</f>
        <v>204.28</v>
      </c>
      <c r="G14" s="62">
        <v>0</v>
      </c>
      <c r="H14" s="62">
        <f>F14*AE14</f>
        <v>0</v>
      </c>
      <c r="I14" s="62">
        <f>J14-H14</f>
        <v>0</v>
      </c>
      <c r="J14" s="62">
        <f>F14*G14</f>
        <v>0</v>
      </c>
      <c r="K14" s="62">
        <f>'Stavební rozpočet'!K126</f>
        <v>0</v>
      </c>
      <c r="L14" s="62">
        <f>F14*K14</f>
        <v>0</v>
      </c>
      <c r="M14" s="60"/>
      <c r="P14" s="38">
        <f>IF(AG14="5",J14,0)</f>
        <v>0</v>
      </c>
      <c r="R14" s="38">
        <f>IF(AG14="1",H14,0)</f>
        <v>0</v>
      </c>
      <c r="S14" s="38">
        <f>IF(AG14="1",I14,0)</f>
        <v>0</v>
      </c>
      <c r="T14" s="38">
        <f>IF(AG14="7",H14,0)</f>
        <v>0</v>
      </c>
      <c r="U14" s="38">
        <f>IF(AG14="7",I14,0)</f>
        <v>0</v>
      </c>
      <c r="V14" s="38">
        <f>IF(AG14="2",H14,0)</f>
        <v>0</v>
      </c>
      <c r="W14" s="38">
        <f>IF(AG14="2",I14,0)</f>
        <v>0</v>
      </c>
      <c r="X14" s="38">
        <f>IF(AG14="0",J14,0)</f>
        <v>0</v>
      </c>
      <c r="Y14" s="57" t="s">
        <v>82</v>
      </c>
      <c r="Z14" s="62">
        <f>IF(AD14=0,J14,0)</f>
        <v>0</v>
      </c>
      <c r="AA14" s="62">
        <f>IF(AD14=15,J14,0)</f>
        <v>0</v>
      </c>
      <c r="AB14" s="62">
        <f>IF(AD14=21,J14,0)</f>
        <v>0</v>
      </c>
      <c r="AD14" s="38">
        <v>21</v>
      </c>
      <c r="AE14" s="38">
        <f>G14*0.41025641025641</f>
        <v>0</v>
      </c>
      <c r="AF14" s="38">
        <f>G14*(1-0.41025641025641)</f>
        <v>0</v>
      </c>
      <c r="AG14" s="60" t="s">
        <v>159</v>
      </c>
      <c r="AM14" s="38">
        <f>F14*AE14</f>
        <v>0</v>
      </c>
      <c r="AN14" s="38">
        <f>F14*AF14</f>
        <v>0</v>
      </c>
      <c r="AO14" s="61" t="s">
        <v>377</v>
      </c>
      <c r="AP14" s="61" t="s">
        <v>378</v>
      </c>
      <c r="AQ14" s="57" t="s">
        <v>379</v>
      </c>
      <c r="AS14" s="38">
        <f>AM14+AN14</f>
        <v>0</v>
      </c>
      <c r="AT14" s="38">
        <f>G14/(100-AU14)*100</f>
        <v>0</v>
      </c>
      <c r="AU14" s="38">
        <v>0</v>
      </c>
      <c r="AV14" s="38">
        <f>L14</f>
        <v>0</v>
      </c>
    </row>
    <row r="15" spans="4:6" ht="12.75">
      <c r="D15" s="66" t="s">
        <v>356</v>
      </c>
      <c r="F15" s="67">
        <v>52.8</v>
      </c>
    </row>
    <row r="16" spans="4:6" ht="12.75">
      <c r="D16" s="66" t="s">
        <v>357</v>
      </c>
      <c r="F16" s="67">
        <v>114.9</v>
      </c>
    </row>
    <row r="17" spans="4:6" ht="12.75">
      <c r="D17" s="66" t="s">
        <v>358</v>
      </c>
      <c r="F17" s="67">
        <v>36.58</v>
      </c>
    </row>
    <row r="18" spans="1:48" ht="12.75">
      <c r="A18" s="46" t="s">
        <v>159</v>
      </c>
      <c r="B18" s="46" t="s">
        <v>82</v>
      </c>
      <c r="C18" s="46" t="s">
        <v>347</v>
      </c>
      <c r="D18" s="46" t="s">
        <v>359</v>
      </c>
      <c r="E18" s="46" t="s">
        <v>303</v>
      </c>
      <c r="F18" s="62">
        <f>'Stavební rozpočet'!F130</f>
        <v>205</v>
      </c>
      <c r="G18" s="62">
        <v>0</v>
      </c>
      <c r="H18" s="62">
        <f>F18*AE18</f>
        <v>0</v>
      </c>
      <c r="I18" s="62">
        <f>J18-H18</f>
        <v>0</v>
      </c>
      <c r="J18" s="62">
        <f>F18*G18</f>
        <v>0</v>
      </c>
      <c r="K18" s="62">
        <f>'Stavební rozpočet'!K130</f>
        <v>0</v>
      </c>
      <c r="L18" s="62">
        <f>F18*K18</f>
        <v>0</v>
      </c>
      <c r="M18" s="60"/>
      <c r="P18" s="38">
        <f>IF(AG18="5",J18,0)</f>
        <v>0</v>
      </c>
      <c r="R18" s="38">
        <f>IF(AG18="1",H18,0)</f>
        <v>0</v>
      </c>
      <c r="S18" s="38">
        <f>IF(AG18="1",I18,0)</f>
        <v>0</v>
      </c>
      <c r="T18" s="38">
        <f>IF(AG18="7",H18,0)</f>
        <v>0</v>
      </c>
      <c r="U18" s="38">
        <f>IF(AG18="7",I18,0)</f>
        <v>0</v>
      </c>
      <c r="V18" s="38">
        <f>IF(AG18="2",H18,0)</f>
        <v>0</v>
      </c>
      <c r="W18" s="38">
        <f>IF(AG18="2",I18,0)</f>
        <v>0</v>
      </c>
      <c r="X18" s="38">
        <f>IF(AG18="0",J18,0)</f>
        <v>0</v>
      </c>
      <c r="Y18" s="57" t="s">
        <v>82</v>
      </c>
      <c r="Z18" s="62">
        <f>IF(AD18=0,J18,0)</f>
        <v>0</v>
      </c>
      <c r="AA18" s="62">
        <f>IF(AD18=15,J18,0)</f>
        <v>0</v>
      </c>
      <c r="AB18" s="62">
        <f>IF(AD18=21,J18,0)</f>
        <v>0</v>
      </c>
      <c r="AD18" s="38">
        <v>21</v>
      </c>
      <c r="AE18" s="38">
        <f>G18*0.174825174825175</f>
        <v>0</v>
      </c>
      <c r="AF18" s="38">
        <f>G18*(1-0.174825174825175)</f>
        <v>0</v>
      </c>
      <c r="AG18" s="60" t="s">
        <v>159</v>
      </c>
      <c r="AM18" s="38">
        <f>F18*AE18</f>
        <v>0</v>
      </c>
      <c r="AN18" s="38">
        <f>F18*AF18</f>
        <v>0</v>
      </c>
      <c r="AO18" s="61" t="s">
        <v>377</v>
      </c>
      <c r="AP18" s="61" t="s">
        <v>378</v>
      </c>
      <c r="AQ18" s="57" t="s">
        <v>379</v>
      </c>
      <c r="AS18" s="38">
        <f>AM18+AN18</f>
        <v>0</v>
      </c>
      <c r="AT18" s="38">
        <f>G18/(100-AU18)*100</f>
        <v>0</v>
      </c>
      <c r="AU18" s="38">
        <v>0</v>
      </c>
      <c r="AV18" s="38">
        <f>L18</f>
        <v>0</v>
      </c>
    </row>
    <row r="19" spans="4:6" ht="12.75">
      <c r="D19" s="66" t="s">
        <v>360</v>
      </c>
      <c r="F19" s="67">
        <v>205</v>
      </c>
    </row>
    <row r="20" spans="1:48" ht="12.75">
      <c r="A20" s="46" t="s">
        <v>160</v>
      </c>
      <c r="B20" s="46" t="s">
        <v>82</v>
      </c>
      <c r="C20" s="46" t="s">
        <v>348</v>
      </c>
      <c r="D20" s="46" t="s">
        <v>361</v>
      </c>
      <c r="E20" s="46" t="s">
        <v>107</v>
      </c>
      <c r="F20" s="62">
        <f>'Stavební rozpočet'!F132</f>
        <v>0.3</v>
      </c>
      <c r="G20" s="62">
        <v>0</v>
      </c>
      <c r="H20" s="62">
        <f>F20*AE20</f>
        <v>0</v>
      </c>
      <c r="I20" s="62">
        <f>J20-H20</f>
        <v>0</v>
      </c>
      <c r="J20" s="62">
        <f>F20*G20</f>
        <v>0</v>
      </c>
      <c r="K20" s="62">
        <f>'Stavební rozpočet'!K132</f>
        <v>0</v>
      </c>
      <c r="L20" s="62">
        <f>F20*K20</f>
        <v>0</v>
      </c>
      <c r="M20" s="60"/>
      <c r="P20" s="38">
        <f>IF(AG20="5",J20,0)</f>
        <v>0</v>
      </c>
      <c r="R20" s="38">
        <f>IF(AG20="1",H20,0)</f>
        <v>0</v>
      </c>
      <c r="S20" s="38">
        <f>IF(AG20="1",I20,0)</f>
        <v>0</v>
      </c>
      <c r="T20" s="38">
        <f>IF(AG20="7",H20,0)</f>
        <v>0</v>
      </c>
      <c r="U20" s="38">
        <f>IF(AG20="7",I20,0)</f>
        <v>0</v>
      </c>
      <c r="V20" s="38">
        <f>IF(AG20="2",H20,0)</f>
        <v>0</v>
      </c>
      <c r="W20" s="38">
        <f>IF(AG20="2",I20,0)</f>
        <v>0</v>
      </c>
      <c r="X20" s="38">
        <f>IF(AG20="0",J20,0)</f>
        <v>0</v>
      </c>
      <c r="Y20" s="57" t="s">
        <v>82</v>
      </c>
      <c r="Z20" s="62">
        <f>IF(AD20=0,J20,0)</f>
        <v>0</v>
      </c>
      <c r="AA20" s="62">
        <f>IF(AD20=15,J20,0)</f>
        <v>0</v>
      </c>
      <c r="AB20" s="62">
        <f>IF(AD20=21,J20,0)</f>
        <v>0</v>
      </c>
      <c r="AD20" s="38">
        <v>21</v>
      </c>
      <c r="AE20" s="38">
        <f>G20*0.75</f>
        <v>0</v>
      </c>
      <c r="AF20" s="38">
        <f>G20*(1-0.75)</f>
        <v>0</v>
      </c>
      <c r="AG20" s="60" t="s">
        <v>159</v>
      </c>
      <c r="AM20" s="38">
        <f>F20*AE20</f>
        <v>0</v>
      </c>
      <c r="AN20" s="38">
        <f>F20*AF20</f>
        <v>0</v>
      </c>
      <c r="AO20" s="61" t="s">
        <v>377</v>
      </c>
      <c r="AP20" s="61" t="s">
        <v>378</v>
      </c>
      <c r="AQ20" s="57" t="s">
        <v>379</v>
      </c>
      <c r="AS20" s="38">
        <f>AM20+AN20</f>
        <v>0</v>
      </c>
      <c r="AT20" s="38">
        <f>G20/(100-AU20)*100</f>
        <v>0</v>
      </c>
      <c r="AU20" s="38">
        <v>0</v>
      </c>
      <c r="AV20" s="38">
        <f>L20</f>
        <v>0</v>
      </c>
    </row>
    <row r="21" spans="4:6" ht="12.75">
      <c r="D21" s="66" t="s">
        <v>362</v>
      </c>
      <c r="F21" s="67">
        <v>0.3</v>
      </c>
    </row>
    <row r="22" spans="1:48" ht="12.75">
      <c r="A22" s="46" t="s">
        <v>161</v>
      </c>
      <c r="B22" s="46" t="s">
        <v>82</v>
      </c>
      <c r="C22" s="46" t="s">
        <v>349</v>
      </c>
      <c r="D22" s="46" t="s">
        <v>363</v>
      </c>
      <c r="E22" s="46" t="s">
        <v>376</v>
      </c>
      <c r="F22" s="62">
        <f>'Stavební rozpočet'!F134</f>
        <v>20</v>
      </c>
      <c r="G22" s="62">
        <v>0</v>
      </c>
      <c r="H22" s="62">
        <f>F22*AE22</f>
        <v>0</v>
      </c>
      <c r="I22" s="62">
        <f>J22-H22</f>
        <v>0</v>
      </c>
      <c r="J22" s="62">
        <f>F22*G22</f>
        <v>0</v>
      </c>
      <c r="K22" s="62">
        <f>'Stavební rozpočet'!K134</f>
        <v>0</v>
      </c>
      <c r="L22" s="62">
        <f>F22*K22</f>
        <v>0</v>
      </c>
      <c r="M22" s="60"/>
      <c r="P22" s="38">
        <f>IF(AG22="5",J22,0)</f>
        <v>0</v>
      </c>
      <c r="R22" s="38">
        <f>IF(AG22="1",H22,0)</f>
        <v>0</v>
      </c>
      <c r="S22" s="38">
        <f>IF(AG22="1",I22,0)</f>
        <v>0</v>
      </c>
      <c r="T22" s="38">
        <f>IF(AG22="7",H22,0)</f>
        <v>0</v>
      </c>
      <c r="U22" s="38">
        <f>IF(AG22="7",I22,0)</f>
        <v>0</v>
      </c>
      <c r="V22" s="38">
        <f>IF(AG22="2",H22,0)</f>
        <v>0</v>
      </c>
      <c r="W22" s="38">
        <f>IF(AG22="2",I22,0)</f>
        <v>0</v>
      </c>
      <c r="X22" s="38">
        <f>IF(AG22="0",J22,0)</f>
        <v>0</v>
      </c>
      <c r="Y22" s="57" t="s">
        <v>82</v>
      </c>
      <c r="Z22" s="62">
        <f>IF(AD22=0,J22,0)</f>
        <v>0</v>
      </c>
      <c r="AA22" s="62">
        <f>IF(AD22=15,J22,0)</f>
        <v>0</v>
      </c>
      <c r="AB22" s="62">
        <f>IF(AD22=21,J22,0)</f>
        <v>0</v>
      </c>
      <c r="AD22" s="38">
        <v>21</v>
      </c>
      <c r="AE22" s="38">
        <f>G22*0.111111111111111</f>
        <v>0</v>
      </c>
      <c r="AF22" s="38">
        <f>G22*(1-0.111111111111111)</f>
        <v>0</v>
      </c>
      <c r="AG22" s="60" t="s">
        <v>159</v>
      </c>
      <c r="AM22" s="38">
        <f>F22*AE22</f>
        <v>0</v>
      </c>
      <c r="AN22" s="38">
        <f>F22*AF22</f>
        <v>0</v>
      </c>
      <c r="AO22" s="61" t="s">
        <v>377</v>
      </c>
      <c r="AP22" s="61" t="s">
        <v>378</v>
      </c>
      <c r="AQ22" s="57" t="s">
        <v>379</v>
      </c>
      <c r="AS22" s="38">
        <f>AM22+AN22</f>
        <v>0</v>
      </c>
      <c r="AT22" s="38">
        <f>G22/(100-AU22)*100</f>
        <v>0</v>
      </c>
      <c r="AU22" s="38">
        <v>0</v>
      </c>
      <c r="AV22" s="38">
        <f>L22</f>
        <v>0</v>
      </c>
    </row>
    <row r="23" spans="4:6" ht="12.75">
      <c r="D23" s="66" t="s">
        <v>364</v>
      </c>
      <c r="F23" s="67">
        <v>20</v>
      </c>
    </row>
    <row r="24" spans="1:48" ht="12.75">
      <c r="A24" s="46" t="s">
        <v>162</v>
      </c>
      <c r="B24" s="46" t="s">
        <v>82</v>
      </c>
      <c r="C24" s="46" t="s">
        <v>350</v>
      </c>
      <c r="D24" s="46" t="s">
        <v>365</v>
      </c>
      <c r="E24" s="46" t="s">
        <v>303</v>
      </c>
      <c r="F24" s="62">
        <f>'Stavební rozpočet'!F136</f>
        <v>265</v>
      </c>
      <c r="G24" s="62">
        <v>0</v>
      </c>
      <c r="H24" s="62">
        <f>F24*AE24</f>
        <v>0</v>
      </c>
      <c r="I24" s="62">
        <f>J24-H24</f>
        <v>0</v>
      </c>
      <c r="J24" s="62">
        <f>F24*G24</f>
        <v>0</v>
      </c>
      <c r="K24" s="62">
        <f>'Stavební rozpočet'!K136</f>
        <v>0</v>
      </c>
      <c r="L24" s="62">
        <f>F24*K24</f>
        <v>0</v>
      </c>
      <c r="M24" s="60"/>
      <c r="P24" s="38">
        <f>IF(AG24="5",J24,0)</f>
        <v>0</v>
      </c>
      <c r="R24" s="38">
        <f>IF(AG24="1",H24,0)</f>
        <v>0</v>
      </c>
      <c r="S24" s="38">
        <f>IF(AG24="1",I24,0)</f>
        <v>0</v>
      </c>
      <c r="T24" s="38">
        <f>IF(AG24="7",H24,0)</f>
        <v>0</v>
      </c>
      <c r="U24" s="38">
        <f>IF(AG24="7",I24,0)</f>
        <v>0</v>
      </c>
      <c r="V24" s="38">
        <f>IF(AG24="2",H24,0)</f>
        <v>0</v>
      </c>
      <c r="W24" s="38">
        <f>IF(AG24="2",I24,0)</f>
        <v>0</v>
      </c>
      <c r="X24" s="38">
        <f>IF(AG24="0",J24,0)</f>
        <v>0</v>
      </c>
      <c r="Y24" s="57" t="s">
        <v>82</v>
      </c>
      <c r="Z24" s="62">
        <f>IF(AD24=0,J24,0)</f>
        <v>0</v>
      </c>
      <c r="AA24" s="62">
        <f>IF(AD24=15,J24,0)</f>
        <v>0</v>
      </c>
      <c r="AB24" s="62">
        <f>IF(AD24=21,J24,0)</f>
        <v>0</v>
      </c>
      <c r="AD24" s="38">
        <v>21</v>
      </c>
      <c r="AE24" s="38">
        <f>G24*0.133882352941176</f>
        <v>0</v>
      </c>
      <c r="AF24" s="38">
        <f>G24*(1-0.133882352941176)</f>
        <v>0</v>
      </c>
      <c r="AG24" s="60" t="s">
        <v>159</v>
      </c>
      <c r="AM24" s="38">
        <f>F24*AE24</f>
        <v>0</v>
      </c>
      <c r="AN24" s="38">
        <f>F24*AF24</f>
        <v>0</v>
      </c>
      <c r="AO24" s="61" t="s">
        <v>377</v>
      </c>
      <c r="AP24" s="61" t="s">
        <v>378</v>
      </c>
      <c r="AQ24" s="57" t="s">
        <v>379</v>
      </c>
      <c r="AS24" s="38">
        <f>AM24+AN24</f>
        <v>0</v>
      </c>
      <c r="AT24" s="38">
        <f>G24/(100-AU24)*100</f>
        <v>0</v>
      </c>
      <c r="AU24" s="38">
        <v>0</v>
      </c>
      <c r="AV24" s="38">
        <f>L24</f>
        <v>0</v>
      </c>
    </row>
    <row r="25" spans="4:6" ht="12.75">
      <c r="D25" s="66" t="s">
        <v>366</v>
      </c>
      <c r="F25" s="67">
        <v>195</v>
      </c>
    </row>
    <row r="26" spans="4:6" ht="12.75">
      <c r="D26" s="66" t="s">
        <v>367</v>
      </c>
      <c r="F26" s="67">
        <v>70</v>
      </c>
    </row>
    <row r="27" spans="1:48" ht="12.75">
      <c r="A27" s="46" t="s">
        <v>163</v>
      </c>
      <c r="B27" s="46" t="s">
        <v>82</v>
      </c>
      <c r="C27" s="46" t="s">
        <v>351</v>
      </c>
      <c r="D27" s="46" t="s">
        <v>368</v>
      </c>
      <c r="E27" s="46" t="s">
        <v>303</v>
      </c>
      <c r="F27" s="62">
        <f>'Stavební rozpočet'!F139</f>
        <v>312</v>
      </c>
      <c r="G27" s="62">
        <v>0</v>
      </c>
      <c r="H27" s="62">
        <f>F27*AE27</f>
        <v>0</v>
      </c>
      <c r="I27" s="62">
        <f>J27-H27</f>
        <v>0</v>
      </c>
      <c r="J27" s="62">
        <f>F27*G27</f>
        <v>0</v>
      </c>
      <c r="K27" s="62">
        <f>'Stavební rozpočet'!K139</f>
        <v>0</v>
      </c>
      <c r="L27" s="62">
        <f>F27*K27</f>
        <v>0</v>
      </c>
      <c r="M27" s="60"/>
      <c r="P27" s="38">
        <f>IF(AG27="5",J27,0)</f>
        <v>0</v>
      </c>
      <c r="R27" s="38">
        <f>IF(AG27="1",H27,0)</f>
        <v>0</v>
      </c>
      <c r="S27" s="38">
        <f>IF(AG27="1",I27,0)</f>
        <v>0</v>
      </c>
      <c r="T27" s="38">
        <f>IF(AG27="7",H27,0)</f>
        <v>0</v>
      </c>
      <c r="U27" s="38">
        <f>IF(AG27="7",I27,0)</f>
        <v>0</v>
      </c>
      <c r="V27" s="38">
        <f>IF(AG27="2",H27,0)</f>
        <v>0</v>
      </c>
      <c r="W27" s="38">
        <f>IF(AG27="2",I27,0)</f>
        <v>0</v>
      </c>
      <c r="X27" s="38">
        <f>IF(AG27="0",J27,0)</f>
        <v>0</v>
      </c>
      <c r="Y27" s="57" t="s">
        <v>82</v>
      </c>
      <c r="Z27" s="62">
        <f>IF(AD27=0,J27,0)</f>
        <v>0</v>
      </c>
      <c r="AA27" s="62">
        <f>IF(AD27=15,J27,0)</f>
        <v>0</v>
      </c>
      <c r="AB27" s="62">
        <f>IF(AD27=21,J27,0)</f>
        <v>0</v>
      </c>
      <c r="AD27" s="38">
        <v>21</v>
      </c>
      <c r="AE27" s="38">
        <f>G27*0</f>
        <v>0</v>
      </c>
      <c r="AF27" s="38">
        <f>G27*(1-0)</f>
        <v>0</v>
      </c>
      <c r="AG27" s="60" t="s">
        <v>159</v>
      </c>
      <c r="AM27" s="38">
        <f>F27*AE27</f>
        <v>0</v>
      </c>
      <c r="AN27" s="38">
        <f>F27*AF27</f>
        <v>0</v>
      </c>
      <c r="AO27" s="61" t="s">
        <v>377</v>
      </c>
      <c r="AP27" s="61" t="s">
        <v>378</v>
      </c>
      <c r="AQ27" s="57" t="s">
        <v>379</v>
      </c>
      <c r="AS27" s="38">
        <f>AM27+AN27</f>
        <v>0</v>
      </c>
      <c r="AT27" s="38">
        <f>G27/(100-AU27)*100</f>
        <v>0</v>
      </c>
      <c r="AU27" s="38">
        <v>0</v>
      </c>
      <c r="AV27" s="38">
        <f>L27</f>
        <v>0</v>
      </c>
    </row>
    <row r="28" spans="4:6" ht="12.75">
      <c r="D28" s="66" t="s">
        <v>369</v>
      </c>
      <c r="F28" s="67">
        <v>312</v>
      </c>
    </row>
    <row r="29" spans="1:37" ht="12.75">
      <c r="A29" s="45"/>
      <c r="B29" s="50" t="s">
        <v>82</v>
      </c>
      <c r="C29" s="50" t="s">
        <v>142</v>
      </c>
      <c r="D29" s="50" t="s">
        <v>157</v>
      </c>
      <c r="E29" s="45" t="s">
        <v>77</v>
      </c>
      <c r="F29" s="45" t="s">
        <v>77</v>
      </c>
      <c r="G29" s="45" t="s">
        <v>77</v>
      </c>
      <c r="H29" s="64">
        <f>SUM(H30:H35)</f>
        <v>0</v>
      </c>
      <c r="I29" s="64">
        <f>SUM(I30:I35)</f>
        <v>0</v>
      </c>
      <c r="J29" s="64">
        <f>H29+I29</f>
        <v>0</v>
      </c>
      <c r="K29" s="57"/>
      <c r="L29" s="64">
        <f>SUM(L30:L35)</f>
        <v>0</v>
      </c>
      <c r="M29" s="57"/>
      <c r="Y29" s="57" t="s">
        <v>82</v>
      </c>
      <c r="AI29" s="64">
        <f>SUM(Z30:Z35)</f>
        <v>0</v>
      </c>
      <c r="AJ29" s="64">
        <f>SUM(AA30:AA35)</f>
        <v>0</v>
      </c>
      <c r="AK29" s="64">
        <f>SUM(AB30:AB35)</f>
        <v>0</v>
      </c>
    </row>
    <row r="30" spans="1:48" ht="12.75">
      <c r="A30" s="46" t="s">
        <v>122</v>
      </c>
      <c r="B30" s="46" t="s">
        <v>82</v>
      </c>
      <c r="C30" s="46" t="s">
        <v>352</v>
      </c>
      <c r="D30" s="46" t="s">
        <v>370</v>
      </c>
      <c r="E30" s="46" t="s">
        <v>307</v>
      </c>
      <c r="F30" s="62">
        <f>'Stavební rozpočet'!F142</f>
        <v>1</v>
      </c>
      <c r="G30" s="62">
        <v>0</v>
      </c>
      <c r="H30" s="62">
        <f>F30*AE30</f>
        <v>0</v>
      </c>
      <c r="I30" s="62">
        <f>J30-H30</f>
        <v>0</v>
      </c>
      <c r="J30" s="62">
        <f>F30*G30</f>
        <v>0</v>
      </c>
      <c r="K30" s="62">
        <f>'Stavební rozpočet'!K142</f>
        <v>0</v>
      </c>
      <c r="L30" s="62">
        <f>F30*K30</f>
        <v>0</v>
      </c>
      <c r="M30" s="60" t="s">
        <v>308</v>
      </c>
      <c r="P30" s="38">
        <f>IF(AG30="5",J30,0)</f>
        <v>0</v>
      </c>
      <c r="R30" s="38">
        <f>IF(AG30="1",H30,0)</f>
        <v>0</v>
      </c>
      <c r="S30" s="38">
        <f>IF(AG30="1",I30,0)</f>
        <v>0</v>
      </c>
      <c r="T30" s="38">
        <f>IF(AG30="7",H30,0)</f>
        <v>0</v>
      </c>
      <c r="U30" s="38">
        <f>IF(AG30="7",I30,0)</f>
        <v>0</v>
      </c>
      <c r="V30" s="38">
        <f>IF(AG30="2",H30,0)</f>
        <v>0</v>
      </c>
      <c r="W30" s="38">
        <f>IF(AG30="2",I30,0)</f>
        <v>0</v>
      </c>
      <c r="X30" s="38">
        <f>IF(AG30="0",J30,0)</f>
        <v>0</v>
      </c>
      <c r="Y30" s="57" t="s">
        <v>82</v>
      </c>
      <c r="Z30" s="62">
        <f>IF(AD30=0,J30,0)</f>
        <v>0</v>
      </c>
      <c r="AA30" s="62">
        <f>IF(AD30=15,J30,0)</f>
        <v>0</v>
      </c>
      <c r="AB30" s="62">
        <f>IF(AD30=21,J30,0)</f>
        <v>0</v>
      </c>
      <c r="AD30" s="38">
        <v>21</v>
      </c>
      <c r="AE30" s="38">
        <f>G30*0</f>
        <v>0</v>
      </c>
      <c r="AF30" s="38">
        <f>G30*(1-0)</f>
        <v>0</v>
      </c>
      <c r="AG30" s="60" t="s">
        <v>162</v>
      </c>
      <c r="AM30" s="38">
        <f>F30*AE30</f>
        <v>0</v>
      </c>
      <c r="AN30" s="38">
        <f>F30*AF30</f>
        <v>0</v>
      </c>
      <c r="AO30" s="61" t="s">
        <v>323</v>
      </c>
      <c r="AP30" s="61" t="s">
        <v>378</v>
      </c>
      <c r="AQ30" s="57" t="s">
        <v>379</v>
      </c>
      <c r="AS30" s="38">
        <f>AM30+AN30</f>
        <v>0</v>
      </c>
      <c r="AT30" s="38">
        <f>G30/(100-AU30)*100</f>
        <v>0</v>
      </c>
      <c r="AU30" s="38">
        <v>0</v>
      </c>
      <c r="AV30" s="38">
        <f>L30</f>
        <v>0</v>
      </c>
    </row>
    <row r="31" spans="4:6" ht="12.75">
      <c r="D31" s="66" t="s">
        <v>371</v>
      </c>
      <c r="F31" s="67">
        <v>0.5</v>
      </c>
    </row>
    <row r="32" spans="4:6" ht="12.75">
      <c r="D32" s="66" t="s">
        <v>372</v>
      </c>
      <c r="F32" s="67">
        <v>0.5</v>
      </c>
    </row>
    <row r="33" spans="1:48" ht="12.75">
      <c r="A33" s="46" t="s">
        <v>164</v>
      </c>
      <c r="B33" s="46" t="s">
        <v>82</v>
      </c>
      <c r="C33" s="46" t="s">
        <v>353</v>
      </c>
      <c r="D33" s="46" t="s">
        <v>373</v>
      </c>
      <c r="E33" s="46" t="s">
        <v>307</v>
      </c>
      <c r="F33" s="62">
        <f>'Stavební rozpočet'!F145</f>
        <v>10</v>
      </c>
      <c r="G33" s="62">
        <v>0</v>
      </c>
      <c r="H33" s="62">
        <f>F33*AE33</f>
        <v>0</v>
      </c>
      <c r="I33" s="62">
        <f>J33-H33</f>
        <v>0</v>
      </c>
      <c r="J33" s="62">
        <f>F33*G33</f>
        <v>0</v>
      </c>
      <c r="K33" s="62">
        <f>'Stavební rozpočet'!K145</f>
        <v>0</v>
      </c>
      <c r="L33" s="62">
        <f>F33*K33</f>
        <v>0</v>
      </c>
      <c r="M33" s="60" t="s">
        <v>308</v>
      </c>
      <c r="P33" s="38">
        <f>IF(AG33="5",J33,0)</f>
        <v>0</v>
      </c>
      <c r="R33" s="38">
        <f>IF(AG33="1",H33,0)</f>
        <v>0</v>
      </c>
      <c r="S33" s="38">
        <f>IF(AG33="1",I33,0)</f>
        <v>0</v>
      </c>
      <c r="T33" s="38">
        <f>IF(AG33="7",H33,0)</f>
        <v>0</v>
      </c>
      <c r="U33" s="38">
        <f>IF(AG33="7",I33,0)</f>
        <v>0</v>
      </c>
      <c r="V33" s="38">
        <f>IF(AG33="2",H33,0)</f>
        <v>0</v>
      </c>
      <c r="W33" s="38">
        <f>IF(AG33="2",I33,0)</f>
        <v>0</v>
      </c>
      <c r="X33" s="38">
        <f>IF(AG33="0",J33,0)</f>
        <v>0</v>
      </c>
      <c r="Y33" s="57" t="s">
        <v>82</v>
      </c>
      <c r="Z33" s="62">
        <f>IF(AD33=0,J33,0)</f>
        <v>0</v>
      </c>
      <c r="AA33" s="62">
        <f>IF(AD33=15,J33,0)</f>
        <v>0</v>
      </c>
      <c r="AB33" s="62">
        <f>IF(AD33=21,J33,0)</f>
        <v>0</v>
      </c>
      <c r="AD33" s="38">
        <v>21</v>
      </c>
      <c r="AE33" s="38">
        <f>G33*0</f>
        <v>0</v>
      </c>
      <c r="AF33" s="38">
        <f>G33*(1-0)</f>
        <v>0</v>
      </c>
      <c r="AG33" s="60" t="s">
        <v>162</v>
      </c>
      <c r="AM33" s="38">
        <f>F33*AE33</f>
        <v>0</v>
      </c>
      <c r="AN33" s="38">
        <f>F33*AF33</f>
        <v>0</v>
      </c>
      <c r="AO33" s="61" t="s">
        <v>323</v>
      </c>
      <c r="AP33" s="61" t="s">
        <v>378</v>
      </c>
      <c r="AQ33" s="57" t="s">
        <v>379</v>
      </c>
      <c r="AS33" s="38">
        <f>AM33+AN33</f>
        <v>0</v>
      </c>
      <c r="AT33" s="38">
        <f>G33/(100-AU33)*100</f>
        <v>0</v>
      </c>
      <c r="AU33" s="38">
        <v>0</v>
      </c>
      <c r="AV33" s="38">
        <f>L33</f>
        <v>0</v>
      </c>
    </row>
    <row r="34" spans="4:6" ht="12.75">
      <c r="D34" s="66" t="s">
        <v>374</v>
      </c>
      <c r="F34" s="67">
        <v>10</v>
      </c>
    </row>
    <row r="35" spans="1:48" ht="12.75">
      <c r="A35" s="46" t="s">
        <v>165</v>
      </c>
      <c r="B35" s="46" t="s">
        <v>82</v>
      </c>
      <c r="C35" s="46" t="s">
        <v>354</v>
      </c>
      <c r="D35" s="46" t="s">
        <v>375</v>
      </c>
      <c r="E35" s="46" t="s">
        <v>307</v>
      </c>
      <c r="F35" s="62">
        <f>'Stavební rozpočet'!F147</f>
        <v>1</v>
      </c>
      <c r="G35" s="62">
        <v>0</v>
      </c>
      <c r="H35" s="62">
        <f>F35*AE35</f>
        <v>0</v>
      </c>
      <c r="I35" s="62">
        <f>J35-H35</f>
        <v>0</v>
      </c>
      <c r="J35" s="62">
        <f>F35*G35</f>
        <v>0</v>
      </c>
      <c r="K35" s="62">
        <f>'Stavební rozpočet'!K147</f>
        <v>0</v>
      </c>
      <c r="L35" s="62">
        <f>F35*K35</f>
        <v>0</v>
      </c>
      <c r="M35" s="60" t="s">
        <v>308</v>
      </c>
      <c r="P35" s="38">
        <f>IF(AG35="5",J35,0)</f>
        <v>0</v>
      </c>
      <c r="R35" s="38">
        <f>IF(AG35="1",H35,0)</f>
        <v>0</v>
      </c>
      <c r="S35" s="38">
        <f>IF(AG35="1",I35,0)</f>
        <v>0</v>
      </c>
      <c r="T35" s="38">
        <f>IF(AG35="7",H35,0)</f>
        <v>0</v>
      </c>
      <c r="U35" s="38">
        <f>IF(AG35="7",I35,0)</f>
        <v>0</v>
      </c>
      <c r="V35" s="38">
        <f>IF(AG35="2",H35,0)</f>
        <v>0</v>
      </c>
      <c r="W35" s="38">
        <f>IF(AG35="2",I35,0)</f>
        <v>0</v>
      </c>
      <c r="X35" s="38">
        <f>IF(AG35="0",J35,0)</f>
        <v>0</v>
      </c>
      <c r="Y35" s="57" t="s">
        <v>82</v>
      </c>
      <c r="Z35" s="62">
        <f>IF(AD35=0,J35,0)</f>
        <v>0</v>
      </c>
      <c r="AA35" s="62">
        <f>IF(AD35=15,J35,0)</f>
        <v>0</v>
      </c>
      <c r="AB35" s="62">
        <f>IF(AD35=21,J35,0)</f>
        <v>0</v>
      </c>
      <c r="AD35" s="38">
        <v>21</v>
      </c>
      <c r="AE35" s="38">
        <f>G35*0</f>
        <v>0</v>
      </c>
      <c r="AF35" s="38">
        <f>G35*(1-0)</f>
        <v>0</v>
      </c>
      <c r="AG35" s="60" t="s">
        <v>162</v>
      </c>
      <c r="AM35" s="38">
        <f>F35*AE35</f>
        <v>0</v>
      </c>
      <c r="AN35" s="38">
        <f>F35*AF35</f>
        <v>0</v>
      </c>
      <c r="AO35" s="61" t="s">
        <v>323</v>
      </c>
      <c r="AP35" s="61" t="s">
        <v>378</v>
      </c>
      <c r="AQ35" s="57" t="s">
        <v>379</v>
      </c>
      <c r="AS35" s="38">
        <f>AM35+AN35</f>
        <v>0</v>
      </c>
      <c r="AT35" s="38">
        <f>G35/(100-AU35)*100</f>
        <v>0</v>
      </c>
      <c r="AU35" s="38">
        <v>0</v>
      </c>
      <c r="AV35" s="38">
        <f>L35</f>
        <v>0</v>
      </c>
    </row>
    <row r="36" spans="1:13" ht="12.75">
      <c r="A36" s="1"/>
      <c r="B36" s="1"/>
      <c r="C36" s="1"/>
      <c r="D36" s="51" t="s">
        <v>97</v>
      </c>
      <c r="E36" s="1"/>
      <c r="F36" s="53">
        <v>1</v>
      </c>
      <c r="G36" s="1"/>
      <c r="H36" s="1"/>
      <c r="I36" s="1"/>
      <c r="J36" s="1"/>
      <c r="K36" s="1"/>
      <c r="L36" s="1"/>
      <c r="M36" s="1"/>
    </row>
    <row r="37" spans="1:13" ht="12.75">
      <c r="A37" s="7"/>
      <c r="B37" s="7"/>
      <c r="C37" s="7"/>
      <c r="D37" s="7"/>
      <c r="E37" s="7"/>
      <c r="F37" s="7"/>
      <c r="G37" s="7"/>
      <c r="H37" s="419" t="s">
        <v>92</v>
      </c>
      <c r="I37" s="356"/>
      <c r="J37" s="41">
        <f>J13+J29</f>
        <v>0</v>
      </c>
      <c r="K37" s="7"/>
      <c r="L37" s="7"/>
      <c r="M37" s="7"/>
    </row>
    <row r="38" ht="11.25" customHeight="1">
      <c r="A38" s="33" t="s">
        <v>18</v>
      </c>
    </row>
    <row r="39" spans="1:13" ht="12.75">
      <c r="A39" s="362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</row>
  </sheetData>
  <sheetProtection/>
  <mergeCells count="29">
    <mergeCell ref="H10:J10"/>
    <mergeCell ref="K10:L10"/>
    <mergeCell ref="H37:I37"/>
    <mergeCell ref="A39:M39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7.14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410" t="s">
        <v>380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4" ht="12.75">
      <c r="A2" s="351" t="s">
        <v>0</v>
      </c>
      <c r="B2" s="352"/>
      <c r="C2" s="352"/>
      <c r="D2" s="355" t="s">
        <v>390</v>
      </c>
      <c r="E2" s="430" t="s">
        <v>88</v>
      </c>
      <c r="F2" s="352"/>
      <c r="G2" s="430" t="s">
        <v>393</v>
      </c>
      <c r="H2" s="352"/>
      <c r="I2" s="358" t="s">
        <v>32</v>
      </c>
      <c r="J2" s="358" t="s">
        <v>396</v>
      </c>
      <c r="K2" s="352"/>
      <c r="L2" s="352"/>
      <c r="M2" s="413"/>
      <c r="N2" s="2"/>
    </row>
    <row r="3" spans="1:14" ht="12.75">
      <c r="A3" s="353"/>
      <c r="B3" s="354"/>
      <c r="C3" s="354"/>
      <c r="D3" s="357"/>
      <c r="E3" s="354"/>
      <c r="F3" s="354"/>
      <c r="G3" s="354"/>
      <c r="H3" s="354"/>
      <c r="I3" s="354"/>
      <c r="J3" s="354"/>
      <c r="K3" s="354"/>
      <c r="L3" s="354"/>
      <c r="M3" s="360"/>
      <c r="N3" s="2"/>
    </row>
    <row r="4" spans="1:14" ht="12.75">
      <c r="A4" s="361" t="s">
        <v>1</v>
      </c>
      <c r="B4" s="354"/>
      <c r="C4" s="354"/>
      <c r="D4" s="362" t="s">
        <v>391</v>
      </c>
      <c r="E4" s="364" t="s">
        <v>3</v>
      </c>
      <c r="F4" s="354"/>
      <c r="G4" s="364" t="s">
        <v>77</v>
      </c>
      <c r="H4" s="354"/>
      <c r="I4" s="362" t="s">
        <v>33</v>
      </c>
      <c r="J4" s="362" t="s">
        <v>397</v>
      </c>
      <c r="K4" s="354"/>
      <c r="L4" s="354"/>
      <c r="M4" s="360"/>
      <c r="N4" s="2"/>
    </row>
    <row r="5" spans="1:14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60"/>
      <c r="N5" s="2"/>
    </row>
    <row r="6" spans="1:14" ht="12.75">
      <c r="A6" s="361" t="s">
        <v>2</v>
      </c>
      <c r="B6" s="354"/>
      <c r="C6" s="354"/>
      <c r="D6" s="362" t="s">
        <v>392</v>
      </c>
      <c r="E6" s="364" t="s">
        <v>35</v>
      </c>
      <c r="F6" s="354"/>
      <c r="G6" s="364" t="s">
        <v>394</v>
      </c>
      <c r="H6" s="354"/>
      <c r="I6" s="362" t="s">
        <v>34</v>
      </c>
      <c r="J6" s="362" t="s">
        <v>398</v>
      </c>
      <c r="K6" s="354"/>
      <c r="L6" s="354"/>
      <c r="M6" s="360"/>
      <c r="N6" s="2"/>
    </row>
    <row r="7" spans="1:1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60"/>
      <c r="N7" s="2"/>
    </row>
    <row r="8" spans="1:14" ht="12.75">
      <c r="A8" s="361" t="s">
        <v>4</v>
      </c>
      <c r="B8" s="354"/>
      <c r="C8" s="354"/>
      <c r="D8" s="362">
        <v>8013189</v>
      </c>
      <c r="E8" s="364" t="s">
        <v>89</v>
      </c>
      <c r="F8" s="354"/>
      <c r="G8" s="364" t="s">
        <v>395</v>
      </c>
      <c r="H8" s="354"/>
      <c r="I8" s="362" t="s">
        <v>36</v>
      </c>
      <c r="J8" s="362" t="s">
        <v>399</v>
      </c>
      <c r="K8" s="354"/>
      <c r="L8" s="354"/>
      <c r="M8" s="360"/>
      <c r="N8" s="2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7"/>
      <c r="N9" s="2"/>
    </row>
    <row r="10" spans="1:14" ht="12.75">
      <c r="A10" s="42" t="s">
        <v>102</v>
      </c>
      <c r="B10" s="47" t="s">
        <v>78</v>
      </c>
      <c r="C10" s="47" t="s">
        <v>98</v>
      </c>
      <c r="D10" s="47" t="s">
        <v>83</v>
      </c>
      <c r="E10" s="47" t="s">
        <v>106</v>
      </c>
      <c r="F10" s="52" t="s">
        <v>108</v>
      </c>
      <c r="G10" s="54" t="s">
        <v>109</v>
      </c>
      <c r="H10" s="423" t="s">
        <v>90</v>
      </c>
      <c r="I10" s="424"/>
      <c r="J10" s="425"/>
      <c r="K10" s="423" t="s">
        <v>94</v>
      </c>
      <c r="L10" s="425"/>
      <c r="M10" s="58" t="s">
        <v>111</v>
      </c>
      <c r="N10" s="17"/>
    </row>
    <row r="11" spans="1:24" ht="12.75">
      <c r="A11" s="43" t="s">
        <v>77</v>
      </c>
      <c r="B11" s="48" t="s">
        <v>77</v>
      </c>
      <c r="C11" s="48" t="s">
        <v>77</v>
      </c>
      <c r="D11" s="30" t="s">
        <v>104</v>
      </c>
      <c r="E11" s="48" t="s">
        <v>77</v>
      </c>
      <c r="F11" s="48" t="s">
        <v>77</v>
      </c>
      <c r="G11" s="55" t="s">
        <v>110</v>
      </c>
      <c r="H11" s="34" t="s">
        <v>91</v>
      </c>
      <c r="I11" s="35" t="s">
        <v>21</v>
      </c>
      <c r="J11" s="37" t="s">
        <v>93</v>
      </c>
      <c r="K11" s="34" t="s">
        <v>109</v>
      </c>
      <c r="L11" s="37" t="s">
        <v>93</v>
      </c>
      <c r="M11" s="59" t="s">
        <v>112</v>
      </c>
      <c r="N11" s="17"/>
      <c r="P11" s="57" t="s">
        <v>113</v>
      </c>
      <c r="Q11" s="57" t="s">
        <v>114</v>
      </c>
      <c r="R11" s="57" t="s">
        <v>115</v>
      </c>
      <c r="S11" s="57" t="s">
        <v>116</v>
      </c>
      <c r="T11" s="57" t="s">
        <v>117</v>
      </c>
      <c r="U11" s="57" t="s">
        <v>118</v>
      </c>
      <c r="V11" s="57" t="s">
        <v>119</v>
      </c>
      <c r="W11" s="57" t="s">
        <v>120</v>
      </c>
      <c r="X11" s="57" t="s">
        <v>121</v>
      </c>
    </row>
    <row r="12" spans="1:13" ht="12.75">
      <c r="A12" s="44"/>
      <c r="B12" s="49" t="s">
        <v>79</v>
      </c>
      <c r="C12" s="49"/>
      <c r="D12" s="49" t="s">
        <v>84</v>
      </c>
      <c r="E12" s="44" t="s">
        <v>77</v>
      </c>
      <c r="F12" s="44" t="s">
        <v>77</v>
      </c>
      <c r="G12" s="44" t="s">
        <v>77</v>
      </c>
      <c r="H12" s="63">
        <f>H13</f>
        <v>2397141.000000001</v>
      </c>
      <c r="I12" s="63">
        <f>I13</f>
        <v>94499.99999999907</v>
      </c>
      <c r="J12" s="63">
        <f>H12+I12</f>
        <v>2491641</v>
      </c>
      <c r="K12" s="56"/>
      <c r="L12" s="63">
        <f>L13</f>
        <v>0</v>
      </c>
      <c r="M12" s="56"/>
    </row>
    <row r="13" spans="1:37" ht="12.75">
      <c r="A13" s="45"/>
      <c r="B13" s="50" t="s">
        <v>79</v>
      </c>
      <c r="C13" s="50" t="s">
        <v>99</v>
      </c>
      <c r="D13" s="50" t="s">
        <v>100</v>
      </c>
      <c r="E13" s="45" t="s">
        <v>77</v>
      </c>
      <c r="F13" s="45" t="s">
        <v>77</v>
      </c>
      <c r="G13" s="45" t="s">
        <v>77</v>
      </c>
      <c r="H13" s="64">
        <f>SUM(H14:H14)</f>
        <v>2397141.000000001</v>
      </c>
      <c r="I13" s="64">
        <f>SUM(I14:I14)</f>
        <v>94499.99999999907</v>
      </c>
      <c r="J13" s="64">
        <f>H13+I13</f>
        <v>2491641</v>
      </c>
      <c r="K13" s="57"/>
      <c r="L13" s="64">
        <f>SUM(L14:L14)</f>
        <v>0</v>
      </c>
      <c r="M13" s="57"/>
      <c r="Y13" s="57" t="s">
        <v>79</v>
      </c>
      <c r="AI13" s="64">
        <f>SUM(Z14:Z14)</f>
        <v>0</v>
      </c>
      <c r="AJ13" s="64">
        <f>SUM(AA14:AA14)</f>
        <v>0</v>
      </c>
      <c r="AK13" s="64">
        <f>SUM(AB14:AB14)</f>
        <v>2491641</v>
      </c>
    </row>
    <row r="14" spans="1:48" ht="12.75">
      <c r="A14" s="46" t="s">
        <v>97</v>
      </c>
      <c r="B14" s="46" t="s">
        <v>79</v>
      </c>
      <c r="C14" s="46" t="s">
        <v>103</v>
      </c>
      <c r="D14" s="46" t="s">
        <v>105</v>
      </c>
      <c r="E14" s="46" t="s">
        <v>107</v>
      </c>
      <c r="F14" s="62">
        <v>1</v>
      </c>
      <c r="G14" s="62">
        <v>2491641</v>
      </c>
      <c r="H14" s="62">
        <f>F14*AE14</f>
        <v>2397141.000000001</v>
      </c>
      <c r="I14" s="62">
        <f>J14-H14</f>
        <v>94499.99999999907</v>
      </c>
      <c r="J14" s="62">
        <f>F14*G14</f>
        <v>2491641</v>
      </c>
      <c r="K14" s="62">
        <v>0</v>
      </c>
      <c r="L14" s="62">
        <f>F14*K14</f>
        <v>0</v>
      </c>
      <c r="M14" s="60"/>
      <c r="P14" s="38">
        <f>IF(AG14="5",J14,0)</f>
        <v>0</v>
      </c>
      <c r="R14" s="38">
        <f>IF(AG14="1",H14,0)</f>
        <v>0</v>
      </c>
      <c r="S14" s="38">
        <f>IF(AG14="1",I14,0)</f>
        <v>0</v>
      </c>
      <c r="T14" s="38">
        <f>IF(AG14="7",H14,0)</f>
        <v>2397141.000000001</v>
      </c>
      <c r="U14" s="38">
        <f>IF(AG14="7",I14,0)</f>
        <v>94499.99999999907</v>
      </c>
      <c r="V14" s="38">
        <f>IF(AG14="2",H14,0)</f>
        <v>0</v>
      </c>
      <c r="W14" s="38">
        <f>IF(AG14="2",I14,0)</f>
        <v>0</v>
      </c>
      <c r="X14" s="38">
        <f>IF(AG14="0",J14,0)</f>
        <v>0</v>
      </c>
      <c r="Y14" s="57" t="s">
        <v>79</v>
      </c>
      <c r="Z14" s="62">
        <f>IF(AD14=0,J14,0)</f>
        <v>0</v>
      </c>
      <c r="AA14" s="62">
        <f>IF(AD14=15,J14,0)</f>
        <v>0</v>
      </c>
      <c r="AB14" s="62">
        <f>IF(AD14=21,J14,0)</f>
        <v>2491641</v>
      </c>
      <c r="AD14" s="38">
        <v>21</v>
      </c>
      <c r="AE14" s="38">
        <f>G14*0.9620731879111</f>
        <v>2397141.000000001</v>
      </c>
      <c r="AF14" s="38">
        <f>G14*(1-0.9620731879111)</f>
        <v>94499.99999999897</v>
      </c>
      <c r="AG14" s="60" t="s">
        <v>122</v>
      </c>
      <c r="AM14" s="38">
        <f>F14*AE14</f>
        <v>2397141.000000001</v>
      </c>
      <c r="AN14" s="38">
        <f>F14*AF14</f>
        <v>94499.99999999897</v>
      </c>
      <c r="AO14" s="61" t="s">
        <v>123</v>
      </c>
      <c r="AP14" s="61" t="s">
        <v>124</v>
      </c>
      <c r="AQ14" s="57" t="s">
        <v>125</v>
      </c>
      <c r="AS14" s="38">
        <f>AM14+AN14</f>
        <v>2491641</v>
      </c>
      <c r="AT14" s="38">
        <f>G14/(100-AU14)*100</f>
        <v>2491641</v>
      </c>
      <c r="AU14" s="38">
        <v>0</v>
      </c>
      <c r="AV14" s="38">
        <f>L14</f>
        <v>0</v>
      </c>
    </row>
    <row r="15" spans="4:6" ht="12.75">
      <c r="D15" s="66" t="s">
        <v>97</v>
      </c>
      <c r="F15" s="67">
        <v>1</v>
      </c>
    </row>
    <row r="16" spans="1:13" ht="12.75">
      <c r="A16" s="70"/>
      <c r="B16" s="71" t="s">
        <v>80</v>
      </c>
      <c r="C16" s="71"/>
      <c r="D16" s="71" t="s">
        <v>85</v>
      </c>
      <c r="E16" s="70" t="s">
        <v>77</v>
      </c>
      <c r="F16" s="70" t="s">
        <v>77</v>
      </c>
      <c r="G16" s="70" t="s">
        <v>77</v>
      </c>
      <c r="H16" s="73">
        <f>H17+H22+H29+H40+H43+H63+H66+H69+H74+H77+H86+H102+H107+H112+H115</f>
        <v>146344.09517726966</v>
      </c>
      <c r="I16" s="73">
        <f>I17+I22+I29+I40+I43+I63+I66+I69+I74+I77+I86+I102+I107+I112+I115</f>
        <v>126568.25456273036</v>
      </c>
      <c r="J16" s="73">
        <f>H16+I16</f>
        <v>272912.34974000003</v>
      </c>
      <c r="K16" s="72"/>
      <c r="L16" s="73">
        <f>L17+L22+L29+L40+L43+L63+L66+L69+L74+L77+L86+L102+L107+L112+L115</f>
        <v>33.205674200000004</v>
      </c>
      <c r="M16" s="72"/>
    </row>
    <row r="17" spans="1:37" ht="12.75">
      <c r="A17" s="45"/>
      <c r="B17" s="50" t="s">
        <v>80</v>
      </c>
      <c r="C17" s="50" t="s">
        <v>128</v>
      </c>
      <c r="D17" s="50" t="s">
        <v>143</v>
      </c>
      <c r="E17" s="45" t="s">
        <v>77</v>
      </c>
      <c r="F17" s="45" t="s">
        <v>77</v>
      </c>
      <c r="G17" s="45" t="s">
        <v>77</v>
      </c>
      <c r="H17" s="64">
        <f>SUM(H18:H18)</f>
        <v>0</v>
      </c>
      <c r="I17" s="64">
        <f>SUM(I18:I18)</f>
        <v>2268.96</v>
      </c>
      <c r="J17" s="64">
        <f>H17+I17</f>
        <v>2268.96</v>
      </c>
      <c r="K17" s="57"/>
      <c r="L17" s="64">
        <f>SUM(L18:L18)</f>
        <v>0</v>
      </c>
      <c r="M17" s="57"/>
      <c r="Y17" s="57" t="s">
        <v>80</v>
      </c>
      <c r="AI17" s="64">
        <f>SUM(Z18:Z18)</f>
        <v>0</v>
      </c>
      <c r="AJ17" s="64">
        <f>SUM(AA18:AA18)</f>
        <v>0</v>
      </c>
      <c r="AK17" s="64">
        <f>SUM(AB18:AB18)</f>
        <v>2268.96</v>
      </c>
    </row>
    <row r="18" spans="1:48" ht="12.75">
      <c r="A18" s="46" t="s">
        <v>159</v>
      </c>
      <c r="B18" s="46" t="s">
        <v>80</v>
      </c>
      <c r="C18" s="46" t="s">
        <v>189</v>
      </c>
      <c r="D18" s="46" t="s">
        <v>226</v>
      </c>
      <c r="E18" s="46" t="s">
        <v>302</v>
      </c>
      <c r="F18" s="62">
        <v>6.96</v>
      </c>
      <c r="G18" s="62">
        <v>326</v>
      </c>
      <c r="H18" s="62">
        <f>F18*AE18</f>
        <v>0</v>
      </c>
      <c r="I18" s="62">
        <f>J18-H18</f>
        <v>2268.96</v>
      </c>
      <c r="J18" s="62">
        <f>F18*G18</f>
        <v>2268.96</v>
      </c>
      <c r="K18" s="62">
        <v>0</v>
      </c>
      <c r="L18" s="62">
        <f>F18*K18</f>
        <v>0</v>
      </c>
      <c r="M18" s="60" t="s">
        <v>308</v>
      </c>
      <c r="P18" s="38">
        <f>IF(AG18="5",J18,0)</f>
        <v>0</v>
      </c>
      <c r="R18" s="38">
        <f>IF(AG18="1",H18,0)</f>
        <v>0</v>
      </c>
      <c r="S18" s="38">
        <f>IF(AG18="1",I18,0)</f>
        <v>2268.96</v>
      </c>
      <c r="T18" s="38">
        <f>IF(AG18="7",H18,0)</f>
        <v>0</v>
      </c>
      <c r="U18" s="38">
        <f>IF(AG18="7",I18,0)</f>
        <v>0</v>
      </c>
      <c r="V18" s="38">
        <f>IF(AG18="2",H18,0)</f>
        <v>0</v>
      </c>
      <c r="W18" s="38">
        <f>IF(AG18="2",I18,0)</f>
        <v>0</v>
      </c>
      <c r="X18" s="38">
        <f>IF(AG18="0",J18,0)</f>
        <v>0</v>
      </c>
      <c r="Y18" s="57" t="s">
        <v>80</v>
      </c>
      <c r="Z18" s="62">
        <f>IF(AD18=0,J18,0)</f>
        <v>0</v>
      </c>
      <c r="AA18" s="62">
        <f>IF(AD18=15,J18,0)</f>
        <v>0</v>
      </c>
      <c r="AB18" s="62">
        <f>IF(AD18=21,J18,0)</f>
        <v>2268.96</v>
      </c>
      <c r="AD18" s="38">
        <v>21</v>
      </c>
      <c r="AE18" s="38">
        <f>G18*0</f>
        <v>0</v>
      </c>
      <c r="AF18" s="38">
        <f>G18*(1-0)</f>
        <v>326</v>
      </c>
      <c r="AG18" s="60" t="s">
        <v>97</v>
      </c>
      <c r="AM18" s="38">
        <f>F18*AE18</f>
        <v>0</v>
      </c>
      <c r="AN18" s="38">
        <f>F18*AF18</f>
        <v>2268.96</v>
      </c>
      <c r="AO18" s="61" t="s">
        <v>309</v>
      </c>
      <c r="AP18" s="61" t="s">
        <v>324</v>
      </c>
      <c r="AQ18" s="57" t="s">
        <v>332</v>
      </c>
      <c r="AS18" s="38">
        <f>AM18+AN18</f>
        <v>2268.96</v>
      </c>
      <c r="AT18" s="38">
        <f>G18/(100-AU18)*100</f>
        <v>326</v>
      </c>
      <c r="AU18" s="38">
        <v>0</v>
      </c>
      <c r="AV18" s="38">
        <f>L18</f>
        <v>0</v>
      </c>
    </row>
    <row r="19" spans="4:6" ht="12.75">
      <c r="D19" s="66" t="s">
        <v>227</v>
      </c>
      <c r="F19" s="67">
        <v>4.4</v>
      </c>
    </row>
    <row r="20" spans="4:6" ht="12.75">
      <c r="D20" s="66" t="s">
        <v>228</v>
      </c>
      <c r="F20" s="67">
        <v>0.8</v>
      </c>
    </row>
    <row r="21" spans="4:6" ht="12.75">
      <c r="D21" s="66" t="s">
        <v>229</v>
      </c>
      <c r="F21" s="67">
        <v>1.76</v>
      </c>
    </row>
    <row r="22" spans="1:37" ht="12.75">
      <c r="A22" s="45"/>
      <c r="B22" s="50" t="s">
        <v>80</v>
      </c>
      <c r="C22" s="50" t="s">
        <v>129</v>
      </c>
      <c r="D22" s="50" t="s">
        <v>144</v>
      </c>
      <c r="E22" s="45" t="s">
        <v>77</v>
      </c>
      <c r="F22" s="45" t="s">
        <v>77</v>
      </c>
      <c r="G22" s="45" t="s">
        <v>77</v>
      </c>
      <c r="H22" s="64">
        <f>SUM(H23:H27)</f>
        <v>0</v>
      </c>
      <c r="I22" s="64">
        <f>SUM(I23:I27)</f>
        <v>2635.5</v>
      </c>
      <c r="J22" s="64">
        <f>H22+I22</f>
        <v>2635.5</v>
      </c>
      <c r="K22" s="57"/>
      <c r="L22" s="64">
        <f>SUM(L23:L27)</f>
        <v>0</v>
      </c>
      <c r="M22" s="57"/>
      <c r="Y22" s="57" t="s">
        <v>80</v>
      </c>
      <c r="AI22" s="64">
        <f>SUM(Z23:Z27)</f>
        <v>0</v>
      </c>
      <c r="AJ22" s="64">
        <f>SUM(AA23:AA27)</f>
        <v>0</v>
      </c>
      <c r="AK22" s="64">
        <f>SUM(AB23:AB27)</f>
        <v>2635.5</v>
      </c>
    </row>
    <row r="23" spans="1:48" ht="12.75">
      <c r="A23" s="46" t="s">
        <v>160</v>
      </c>
      <c r="B23" s="46" t="s">
        <v>80</v>
      </c>
      <c r="C23" s="46" t="s">
        <v>190</v>
      </c>
      <c r="D23" s="46" t="s">
        <v>230</v>
      </c>
      <c r="E23" s="46" t="s">
        <v>302</v>
      </c>
      <c r="F23" s="62">
        <v>7</v>
      </c>
      <c r="G23" s="62">
        <v>124.5</v>
      </c>
      <c r="H23" s="62">
        <f>F23*AE23</f>
        <v>0</v>
      </c>
      <c r="I23" s="62">
        <f>J23-H23</f>
        <v>871.5</v>
      </c>
      <c r="J23" s="62">
        <f>F23*G23</f>
        <v>871.5</v>
      </c>
      <c r="K23" s="62">
        <v>0</v>
      </c>
      <c r="L23" s="62">
        <f>F23*K23</f>
        <v>0</v>
      </c>
      <c r="M23" s="60" t="s">
        <v>308</v>
      </c>
      <c r="P23" s="38">
        <f>IF(AG23="5",J23,0)</f>
        <v>0</v>
      </c>
      <c r="R23" s="38">
        <f>IF(AG23="1",H23,0)</f>
        <v>0</v>
      </c>
      <c r="S23" s="38">
        <f>IF(AG23="1",I23,0)</f>
        <v>871.5</v>
      </c>
      <c r="T23" s="38">
        <f>IF(AG23="7",H23,0)</f>
        <v>0</v>
      </c>
      <c r="U23" s="38">
        <f>IF(AG23="7",I23,0)</f>
        <v>0</v>
      </c>
      <c r="V23" s="38">
        <f>IF(AG23="2",H23,0)</f>
        <v>0</v>
      </c>
      <c r="W23" s="38">
        <f>IF(AG23="2",I23,0)</f>
        <v>0</v>
      </c>
      <c r="X23" s="38">
        <f>IF(AG23="0",J23,0)</f>
        <v>0</v>
      </c>
      <c r="Y23" s="57" t="s">
        <v>80</v>
      </c>
      <c r="Z23" s="62">
        <f>IF(AD23=0,J23,0)</f>
        <v>0</v>
      </c>
      <c r="AA23" s="62">
        <f>IF(AD23=15,J23,0)</f>
        <v>0</v>
      </c>
      <c r="AB23" s="62">
        <f>IF(AD23=21,J23,0)</f>
        <v>871.5</v>
      </c>
      <c r="AD23" s="38">
        <v>21</v>
      </c>
      <c r="AE23" s="38">
        <f>G23*0</f>
        <v>0</v>
      </c>
      <c r="AF23" s="38">
        <f>G23*(1-0)</f>
        <v>124.5</v>
      </c>
      <c r="AG23" s="60" t="s">
        <v>97</v>
      </c>
      <c r="AM23" s="38">
        <f>F23*AE23</f>
        <v>0</v>
      </c>
      <c r="AN23" s="38">
        <f>F23*AF23</f>
        <v>871.5</v>
      </c>
      <c r="AO23" s="61" t="s">
        <v>310</v>
      </c>
      <c r="AP23" s="61" t="s">
        <v>324</v>
      </c>
      <c r="AQ23" s="57" t="s">
        <v>332</v>
      </c>
      <c r="AS23" s="38">
        <f>AM23+AN23</f>
        <v>871.5</v>
      </c>
      <c r="AT23" s="38">
        <f>G23/(100-AU23)*100</f>
        <v>124.50000000000001</v>
      </c>
      <c r="AU23" s="38">
        <v>0</v>
      </c>
      <c r="AV23" s="38">
        <f>L23</f>
        <v>0</v>
      </c>
    </row>
    <row r="24" spans="4:6" ht="12.75">
      <c r="D24" s="66" t="s">
        <v>122</v>
      </c>
      <c r="F24" s="67">
        <v>7</v>
      </c>
    </row>
    <row r="25" spans="1:48" ht="12.75">
      <c r="A25" s="46" t="s">
        <v>161</v>
      </c>
      <c r="B25" s="46" t="s">
        <v>80</v>
      </c>
      <c r="C25" s="46" t="s">
        <v>191</v>
      </c>
      <c r="D25" s="46" t="s">
        <v>231</v>
      </c>
      <c r="E25" s="46" t="s">
        <v>302</v>
      </c>
      <c r="F25" s="62">
        <v>7</v>
      </c>
      <c r="G25" s="62">
        <v>39</v>
      </c>
      <c r="H25" s="62">
        <f>F25*AE25</f>
        <v>0</v>
      </c>
      <c r="I25" s="62">
        <f>J25-H25</f>
        <v>273</v>
      </c>
      <c r="J25" s="62">
        <f>F25*G25</f>
        <v>273</v>
      </c>
      <c r="K25" s="62">
        <v>0</v>
      </c>
      <c r="L25" s="62">
        <f>F25*K25</f>
        <v>0</v>
      </c>
      <c r="M25" s="60" t="s">
        <v>308</v>
      </c>
      <c r="P25" s="38">
        <f>IF(AG25="5",J25,0)</f>
        <v>0</v>
      </c>
      <c r="R25" s="38">
        <f>IF(AG25="1",H25,0)</f>
        <v>0</v>
      </c>
      <c r="S25" s="38">
        <f>IF(AG25="1",I25,0)</f>
        <v>273</v>
      </c>
      <c r="T25" s="38">
        <f>IF(AG25="7",H25,0)</f>
        <v>0</v>
      </c>
      <c r="U25" s="38">
        <f>IF(AG25="7",I25,0)</f>
        <v>0</v>
      </c>
      <c r="V25" s="38">
        <f>IF(AG25="2",H25,0)</f>
        <v>0</v>
      </c>
      <c r="W25" s="38">
        <f>IF(AG25="2",I25,0)</f>
        <v>0</v>
      </c>
      <c r="X25" s="38">
        <f>IF(AG25="0",J25,0)</f>
        <v>0</v>
      </c>
      <c r="Y25" s="57" t="s">
        <v>80</v>
      </c>
      <c r="Z25" s="62">
        <f>IF(AD25=0,J25,0)</f>
        <v>0</v>
      </c>
      <c r="AA25" s="62">
        <f>IF(AD25=15,J25,0)</f>
        <v>0</v>
      </c>
      <c r="AB25" s="62">
        <f>IF(AD25=21,J25,0)</f>
        <v>273</v>
      </c>
      <c r="AD25" s="38">
        <v>21</v>
      </c>
      <c r="AE25" s="38">
        <f>G25*0</f>
        <v>0</v>
      </c>
      <c r="AF25" s="38">
        <f>G25*(1-0)</f>
        <v>39</v>
      </c>
      <c r="AG25" s="60" t="s">
        <v>97</v>
      </c>
      <c r="AM25" s="38">
        <f>F25*AE25</f>
        <v>0</v>
      </c>
      <c r="AN25" s="38">
        <f>F25*AF25</f>
        <v>273</v>
      </c>
      <c r="AO25" s="61" t="s">
        <v>310</v>
      </c>
      <c r="AP25" s="61" t="s">
        <v>324</v>
      </c>
      <c r="AQ25" s="57" t="s">
        <v>332</v>
      </c>
      <c r="AS25" s="38">
        <f>AM25+AN25</f>
        <v>273</v>
      </c>
      <c r="AT25" s="38">
        <f>G25/(100-AU25)*100</f>
        <v>39</v>
      </c>
      <c r="AU25" s="38">
        <v>0</v>
      </c>
      <c r="AV25" s="38">
        <f>L25</f>
        <v>0</v>
      </c>
    </row>
    <row r="26" spans="4:6" ht="12.75">
      <c r="D26" s="66" t="s">
        <v>122</v>
      </c>
      <c r="F26" s="67">
        <v>7</v>
      </c>
    </row>
    <row r="27" spans="1:48" ht="12.75">
      <c r="A27" s="46" t="s">
        <v>162</v>
      </c>
      <c r="B27" s="46" t="s">
        <v>80</v>
      </c>
      <c r="C27" s="46" t="s">
        <v>192</v>
      </c>
      <c r="D27" s="46" t="s">
        <v>232</v>
      </c>
      <c r="E27" s="46" t="s">
        <v>302</v>
      </c>
      <c r="F27" s="62">
        <v>7</v>
      </c>
      <c r="G27" s="62">
        <v>213</v>
      </c>
      <c r="H27" s="62">
        <f>F27*AE27</f>
        <v>0</v>
      </c>
      <c r="I27" s="62">
        <f>J27-H27</f>
        <v>1491</v>
      </c>
      <c r="J27" s="62">
        <f>F27*G27</f>
        <v>1491</v>
      </c>
      <c r="K27" s="62">
        <v>0</v>
      </c>
      <c r="L27" s="62">
        <f>F27*K27</f>
        <v>0</v>
      </c>
      <c r="M27" s="60" t="s">
        <v>308</v>
      </c>
      <c r="P27" s="38">
        <f>IF(AG27="5",J27,0)</f>
        <v>0</v>
      </c>
      <c r="R27" s="38">
        <f>IF(AG27="1",H27,0)</f>
        <v>0</v>
      </c>
      <c r="S27" s="38">
        <f>IF(AG27="1",I27,0)</f>
        <v>1491</v>
      </c>
      <c r="T27" s="38">
        <f>IF(AG27="7",H27,0)</f>
        <v>0</v>
      </c>
      <c r="U27" s="38">
        <f>IF(AG27="7",I27,0)</f>
        <v>0</v>
      </c>
      <c r="V27" s="38">
        <f>IF(AG27="2",H27,0)</f>
        <v>0</v>
      </c>
      <c r="W27" s="38">
        <f>IF(AG27="2",I27,0)</f>
        <v>0</v>
      </c>
      <c r="X27" s="38">
        <f>IF(AG27="0",J27,0)</f>
        <v>0</v>
      </c>
      <c r="Y27" s="57" t="s">
        <v>80</v>
      </c>
      <c r="Z27" s="62">
        <f>IF(AD27=0,J27,0)</f>
        <v>0</v>
      </c>
      <c r="AA27" s="62">
        <f>IF(AD27=15,J27,0)</f>
        <v>0</v>
      </c>
      <c r="AB27" s="62">
        <f>IF(AD27=21,J27,0)</f>
        <v>1491</v>
      </c>
      <c r="AD27" s="38">
        <v>21</v>
      </c>
      <c r="AE27" s="38">
        <f>G27*0</f>
        <v>0</v>
      </c>
      <c r="AF27" s="38">
        <f>G27*(1-0)</f>
        <v>213</v>
      </c>
      <c r="AG27" s="60" t="s">
        <v>97</v>
      </c>
      <c r="AM27" s="38">
        <f>F27*AE27</f>
        <v>0</v>
      </c>
      <c r="AN27" s="38">
        <f>F27*AF27</f>
        <v>1491</v>
      </c>
      <c r="AO27" s="61" t="s">
        <v>310</v>
      </c>
      <c r="AP27" s="61" t="s">
        <v>324</v>
      </c>
      <c r="AQ27" s="57" t="s">
        <v>332</v>
      </c>
      <c r="AS27" s="38">
        <f>AM27+AN27</f>
        <v>1491</v>
      </c>
      <c r="AT27" s="38">
        <f>G27/(100-AU27)*100</f>
        <v>213</v>
      </c>
      <c r="AU27" s="38">
        <v>0</v>
      </c>
      <c r="AV27" s="38">
        <f>L27</f>
        <v>0</v>
      </c>
    </row>
    <row r="28" spans="4:6" ht="12.75">
      <c r="D28" s="66" t="s">
        <v>122</v>
      </c>
      <c r="F28" s="67">
        <v>7</v>
      </c>
    </row>
    <row r="29" spans="1:37" ht="12.75">
      <c r="A29" s="45"/>
      <c r="B29" s="50" t="s">
        <v>80</v>
      </c>
      <c r="C29" s="50" t="s">
        <v>130</v>
      </c>
      <c r="D29" s="50" t="s">
        <v>145</v>
      </c>
      <c r="E29" s="45" t="s">
        <v>77</v>
      </c>
      <c r="F29" s="45" t="s">
        <v>77</v>
      </c>
      <c r="G29" s="45" t="s">
        <v>77</v>
      </c>
      <c r="H29" s="64">
        <f>SUM(H30:H38)</f>
        <v>22373.085572571163</v>
      </c>
      <c r="I29" s="64">
        <f>SUM(I30:I38)</f>
        <v>9096.210427428838</v>
      </c>
      <c r="J29" s="64">
        <f>H29+I29</f>
        <v>31469.296000000002</v>
      </c>
      <c r="K29" s="57"/>
      <c r="L29" s="64">
        <f>SUM(L30:L38)</f>
        <v>22.035216</v>
      </c>
      <c r="M29" s="57"/>
      <c r="Y29" s="57" t="s">
        <v>80</v>
      </c>
      <c r="AI29" s="64">
        <f>SUM(Z30:Z38)</f>
        <v>0</v>
      </c>
      <c r="AJ29" s="64">
        <f>SUM(AA30:AA38)</f>
        <v>0</v>
      </c>
      <c r="AK29" s="64">
        <f>SUM(AB30:AB38)</f>
        <v>31469.296000000002</v>
      </c>
    </row>
    <row r="30" spans="1:48" ht="12.75">
      <c r="A30" s="46" t="s">
        <v>163</v>
      </c>
      <c r="B30" s="46" t="s">
        <v>80</v>
      </c>
      <c r="C30" s="46" t="s">
        <v>193</v>
      </c>
      <c r="D30" s="46" t="s">
        <v>233</v>
      </c>
      <c r="E30" s="46" t="s">
        <v>302</v>
      </c>
      <c r="F30" s="62">
        <v>8.26</v>
      </c>
      <c r="G30" s="62">
        <v>2550</v>
      </c>
      <c r="H30" s="62">
        <f>F30*AE30</f>
        <v>19579.999599999996</v>
      </c>
      <c r="I30" s="62">
        <f>J30-H30</f>
        <v>1483.0004000000044</v>
      </c>
      <c r="J30" s="62">
        <f>F30*G30</f>
        <v>21063</v>
      </c>
      <c r="K30" s="62">
        <v>2.5856</v>
      </c>
      <c r="L30" s="62">
        <f>F30*K30</f>
        <v>21.357056</v>
      </c>
      <c r="M30" s="60" t="s">
        <v>308</v>
      </c>
      <c r="P30" s="38">
        <f>IF(AG30="5",J30,0)</f>
        <v>0</v>
      </c>
      <c r="R30" s="38">
        <f>IF(AG30="1",H30,0)</f>
        <v>19579.999599999996</v>
      </c>
      <c r="S30" s="38">
        <f>IF(AG30="1",I30,0)</f>
        <v>1483.0004000000044</v>
      </c>
      <c r="T30" s="38">
        <f>IF(AG30="7",H30,0)</f>
        <v>0</v>
      </c>
      <c r="U30" s="38">
        <f>IF(AG30="7",I30,0)</f>
        <v>0</v>
      </c>
      <c r="V30" s="38">
        <f>IF(AG30="2",H30,0)</f>
        <v>0</v>
      </c>
      <c r="W30" s="38">
        <f>IF(AG30="2",I30,0)</f>
        <v>0</v>
      </c>
      <c r="X30" s="38">
        <f>IF(AG30="0",J30,0)</f>
        <v>0</v>
      </c>
      <c r="Y30" s="57" t="s">
        <v>80</v>
      </c>
      <c r="Z30" s="62">
        <f>IF(AD30=0,J30,0)</f>
        <v>0</v>
      </c>
      <c r="AA30" s="62">
        <f>IF(AD30=15,J30,0)</f>
        <v>0</v>
      </c>
      <c r="AB30" s="62">
        <f>IF(AD30=21,J30,0)</f>
        <v>21063</v>
      </c>
      <c r="AD30" s="38">
        <v>21</v>
      </c>
      <c r="AE30" s="38">
        <f>G30*0.929592156862745</f>
        <v>2370.4599999999996</v>
      </c>
      <c r="AF30" s="38">
        <f>G30*(1-0.929592156862745)</f>
        <v>179.54000000000028</v>
      </c>
      <c r="AG30" s="60" t="s">
        <v>97</v>
      </c>
      <c r="AM30" s="38">
        <f>F30*AE30</f>
        <v>19579.999599999996</v>
      </c>
      <c r="AN30" s="38">
        <f>F30*AF30</f>
        <v>1483.0004000000022</v>
      </c>
      <c r="AO30" s="61" t="s">
        <v>311</v>
      </c>
      <c r="AP30" s="61" t="s">
        <v>325</v>
      </c>
      <c r="AQ30" s="57" t="s">
        <v>332</v>
      </c>
      <c r="AS30" s="38">
        <f>AM30+AN30</f>
        <v>21062.999999999996</v>
      </c>
      <c r="AT30" s="38">
        <f>G30/(100-AU30)*100</f>
        <v>2550</v>
      </c>
      <c r="AU30" s="38">
        <v>0</v>
      </c>
      <c r="AV30" s="38">
        <f>L30</f>
        <v>21.357056</v>
      </c>
    </row>
    <row r="31" spans="4:6" ht="12.75">
      <c r="D31" s="66" t="s">
        <v>234</v>
      </c>
      <c r="F31" s="67">
        <v>5.5</v>
      </c>
    </row>
    <row r="32" spans="4:6" ht="12.75">
      <c r="D32" s="66" t="s">
        <v>235</v>
      </c>
      <c r="F32" s="67">
        <v>1</v>
      </c>
    </row>
    <row r="33" spans="4:6" ht="12.75">
      <c r="D33" s="66" t="s">
        <v>236</v>
      </c>
      <c r="F33" s="67">
        <v>1.76</v>
      </c>
    </row>
    <row r="34" spans="1:48" ht="12.75">
      <c r="A34" s="46" t="s">
        <v>122</v>
      </c>
      <c r="B34" s="46" t="s">
        <v>80</v>
      </c>
      <c r="C34" s="46" t="s">
        <v>194</v>
      </c>
      <c r="D34" s="46" t="s">
        <v>237</v>
      </c>
      <c r="E34" s="46" t="s">
        <v>303</v>
      </c>
      <c r="F34" s="62">
        <v>17.3</v>
      </c>
      <c r="G34" s="62">
        <v>498.01</v>
      </c>
      <c r="H34" s="62">
        <f>F34*AE34</f>
        <v>2793.0859725711666</v>
      </c>
      <c r="I34" s="62">
        <f>J34-H34</f>
        <v>5822.487027428833</v>
      </c>
      <c r="J34" s="62">
        <f>F34*G34</f>
        <v>8615.573</v>
      </c>
      <c r="K34" s="62">
        <v>0.0392</v>
      </c>
      <c r="L34" s="62">
        <f>F34*K34</f>
        <v>0.67816</v>
      </c>
      <c r="M34" s="60" t="s">
        <v>308</v>
      </c>
      <c r="P34" s="38">
        <f>IF(AG34="5",J34,0)</f>
        <v>0</v>
      </c>
      <c r="R34" s="38">
        <f>IF(AG34="1",H34,0)</f>
        <v>2793.0859725711666</v>
      </c>
      <c r="S34" s="38">
        <f>IF(AG34="1",I34,0)</f>
        <v>5822.487027428833</v>
      </c>
      <c r="T34" s="38">
        <f>IF(AG34="7",H34,0)</f>
        <v>0</v>
      </c>
      <c r="U34" s="38">
        <f>IF(AG34="7",I34,0)</f>
        <v>0</v>
      </c>
      <c r="V34" s="38">
        <f>IF(AG34="2",H34,0)</f>
        <v>0</v>
      </c>
      <c r="W34" s="38">
        <f>IF(AG34="2",I34,0)</f>
        <v>0</v>
      </c>
      <c r="X34" s="38">
        <f>IF(AG34="0",J34,0)</f>
        <v>0</v>
      </c>
      <c r="Y34" s="57" t="s">
        <v>80</v>
      </c>
      <c r="Z34" s="62">
        <f>IF(AD34=0,J34,0)</f>
        <v>0</v>
      </c>
      <c r="AA34" s="62">
        <f>IF(AD34=15,J34,0)</f>
        <v>0</v>
      </c>
      <c r="AB34" s="62">
        <f>IF(AD34=21,J34,0)</f>
        <v>8615.573</v>
      </c>
      <c r="AD34" s="38">
        <v>21</v>
      </c>
      <c r="AE34" s="38">
        <f>G34*0.324190390188925</f>
        <v>161.4500562179865</v>
      </c>
      <c r="AF34" s="38">
        <f>G34*(1-0.324190390188925)</f>
        <v>336.5599437820135</v>
      </c>
      <c r="AG34" s="60" t="s">
        <v>97</v>
      </c>
      <c r="AM34" s="38">
        <f>F34*AE34</f>
        <v>2793.0859725711666</v>
      </c>
      <c r="AN34" s="38">
        <f>F34*AF34</f>
        <v>5822.487027428833</v>
      </c>
      <c r="AO34" s="61" t="s">
        <v>311</v>
      </c>
      <c r="AP34" s="61" t="s">
        <v>325</v>
      </c>
      <c r="AQ34" s="57" t="s">
        <v>332</v>
      </c>
      <c r="AS34" s="38">
        <f>AM34+AN34</f>
        <v>8615.573</v>
      </c>
      <c r="AT34" s="38">
        <f>G34/(100-AU34)*100</f>
        <v>498.01</v>
      </c>
      <c r="AU34" s="38">
        <v>0</v>
      </c>
      <c r="AV34" s="38">
        <f>L34</f>
        <v>0.67816</v>
      </c>
    </row>
    <row r="35" spans="4:6" ht="12.75">
      <c r="D35" s="66" t="s">
        <v>238</v>
      </c>
      <c r="F35" s="67">
        <v>6.5</v>
      </c>
    </row>
    <row r="36" spans="4:6" ht="12.75">
      <c r="D36" s="66" t="s">
        <v>239</v>
      </c>
      <c r="F36" s="67">
        <v>2</v>
      </c>
    </row>
    <row r="37" spans="4:6" ht="12.75">
      <c r="D37" s="66" t="s">
        <v>240</v>
      </c>
      <c r="F37" s="67">
        <v>8.8</v>
      </c>
    </row>
    <row r="38" spans="1:48" ht="12.75">
      <c r="A38" s="46" t="s">
        <v>164</v>
      </c>
      <c r="B38" s="46" t="s">
        <v>80</v>
      </c>
      <c r="C38" s="46" t="s">
        <v>195</v>
      </c>
      <c r="D38" s="46" t="s">
        <v>241</v>
      </c>
      <c r="E38" s="46" t="s">
        <v>303</v>
      </c>
      <c r="F38" s="62">
        <v>17.3</v>
      </c>
      <c r="G38" s="62">
        <v>103.51</v>
      </c>
      <c r="H38" s="62">
        <f>F38*AE38</f>
        <v>0</v>
      </c>
      <c r="I38" s="62">
        <f>J38-H38</f>
        <v>1790.7230000000002</v>
      </c>
      <c r="J38" s="62">
        <f>F38*G38</f>
        <v>1790.7230000000002</v>
      </c>
      <c r="K38" s="62">
        <v>0</v>
      </c>
      <c r="L38" s="62">
        <f>F38*K38</f>
        <v>0</v>
      </c>
      <c r="M38" s="60" t="s">
        <v>308</v>
      </c>
      <c r="P38" s="38">
        <f>IF(AG38="5",J38,0)</f>
        <v>0</v>
      </c>
      <c r="R38" s="38">
        <f>IF(AG38="1",H38,0)</f>
        <v>0</v>
      </c>
      <c r="S38" s="38">
        <f>IF(AG38="1",I38,0)</f>
        <v>1790.7230000000002</v>
      </c>
      <c r="T38" s="38">
        <f>IF(AG38="7",H38,0)</f>
        <v>0</v>
      </c>
      <c r="U38" s="38">
        <f>IF(AG38="7",I38,0)</f>
        <v>0</v>
      </c>
      <c r="V38" s="38">
        <f>IF(AG38="2",H38,0)</f>
        <v>0</v>
      </c>
      <c r="W38" s="38">
        <f>IF(AG38="2",I38,0)</f>
        <v>0</v>
      </c>
      <c r="X38" s="38">
        <f>IF(AG38="0",J38,0)</f>
        <v>0</v>
      </c>
      <c r="Y38" s="57" t="s">
        <v>80</v>
      </c>
      <c r="Z38" s="62">
        <f>IF(AD38=0,J38,0)</f>
        <v>0</v>
      </c>
      <c r="AA38" s="62">
        <f>IF(AD38=15,J38,0)</f>
        <v>0</v>
      </c>
      <c r="AB38" s="62">
        <f>IF(AD38=21,J38,0)</f>
        <v>1790.7230000000002</v>
      </c>
      <c r="AD38" s="38">
        <v>21</v>
      </c>
      <c r="AE38" s="38">
        <f>G38*0</f>
        <v>0</v>
      </c>
      <c r="AF38" s="38">
        <f>G38*(1-0)</f>
        <v>103.51</v>
      </c>
      <c r="AG38" s="60" t="s">
        <v>97</v>
      </c>
      <c r="AM38" s="38">
        <f>F38*AE38</f>
        <v>0</v>
      </c>
      <c r="AN38" s="38">
        <f>F38*AF38</f>
        <v>1790.7230000000002</v>
      </c>
      <c r="AO38" s="61" t="s">
        <v>311</v>
      </c>
      <c r="AP38" s="61" t="s">
        <v>325</v>
      </c>
      <c r="AQ38" s="57" t="s">
        <v>332</v>
      </c>
      <c r="AS38" s="38">
        <f>AM38+AN38</f>
        <v>1790.7230000000002</v>
      </c>
      <c r="AT38" s="38">
        <f>G38/(100-AU38)*100</f>
        <v>103.51000000000002</v>
      </c>
      <c r="AU38" s="38">
        <v>0</v>
      </c>
      <c r="AV38" s="38">
        <f>L38</f>
        <v>0</v>
      </c>
    </row>
    <row r="39" spans="4:6" ht="12.75">
      <c r="D39" s="66" t="s">
        <v>242</v>
      </c>
      <c r="F39" s="67">
        <v>17.3</v>
      </c>
    </row>
    <row r="40" spans="1:37" ht="12.75">
      <c r="A40" s="45"/>
      <c r="B40" s="50" t="s">
        <v>80</v>
      </c>
      <c r="C40" s="50" t="s">
        <v>131</v>
      </c>
      <c r="D40" s="50" t="s">
        <v>146</v>
      </c>
      <c r="E40" s="45" t="s">
        <v>77</v>
      </c>
      <c r="F40" s="45" t="s">
        <v>77</v>
      </c>
      <c r="G40" s="45" t="s">
        <v>77</v>
      </c>
      <c r="H40" s="64">
        <f>SUM(H41:H41)</f>
        <v>603.2648667897562</v>
      </c>
      <c r="I40" s="64">
        <f>SUM(I41:I41)</f>
        <v>1623.858333210244</v>
      </c>
      <c r="J40" s="64">
        <f>H40+I40</f>
        <v>2227.1232</v>
      </c>
      <c r="K40" s="57"/>
      <c r="L40" s="64">
        <f>SUM(L41:L41)</f>
        <v>0.4075008</v>
      </c>
      <c r="M40" s="57"/>
      <c r="Y40" s="57" t="s">
        <v>80</v>
      </c>
      <c r="AI40" s="64">
        <f>SUM(Z41:Z41)</f>
        <v>0</v>
      </c>
      <c r="AJ40" s="64">
        <f>SUM(AA41:AA41)</f>
        <v>0</v>
      </c>
      <c r="AK40" s="64">
        <f>SUM(AB41:AB41)</f>
        <v>2227.1232</v>
      </c>
    </row>
    <row r="41" spans="1:48" ht="12.75">
      <c r="A41" s="46" t="s">
        <v>165</v>
      </c>
      <c r="B41" s="46" t="s">
        <v>80</v>
      </c>
      <c r="C41" s="46" t="s">
        <v>196</v>
      </c>
      <c r="D41" s="46" t="s">
        <v>243</v>
      </c>
      <c r="E41" s="46" t="s">
        <v>303</v>
      </c>
      <c r="F41" s="62">
        <v>7.68</v>
      </c>
      <c r="G41" s="62">
        <v>289.99</v>
      </c>
      <c r="H41" s="62">
        <f>F41*AE41</f>
        <v>603.2648667897562</v>
      </c>
      <c r="I41" s="62">
        <f>J41-H41</f>
        <v>1623.858333210244</v>
      </c>
      <c r="J41" s="62">
        <f>F41*G41</f>
        <v>2227.1232</v>
      </c>
      <c r="K41" s="62">
        <v>0.05306</v>
      </c>
      <c r="L41" s="62">
        <f>F41*K41</f>
        <v>0.4075008</v>
      </c>
      <c r="M41" s="60" t="s">
        <v>308</v>
      </c>
      <c r="P41" s="38">
        <f>IF(AG41="5",J41,0)</f>
        <v>0</v>
      </c>
      <c r="R41" s="38">
        <f>IF(AG41="1",H41,0)</f>
        <v>603.2648667897562</v>
      </c>
      <c r="S41" s="38">
        <f>IF(AG41="1",I41,0)</f>
        <v>1623.858333210244</v>
      </c>
      <c r="T41" s="38">
        <f>IF(AG41="7",H41,0)</f>
        <v>0</v>
      </c>
      <c r="U41" s="38">
        <f>IF(AG41="7",I41,0)</f>
        <v>0</v>
      </c>
      <c r="V41" s="38">
        <f>IF(AG41="2",H41,0)</f>
        <v>0</v>
      </c>
      <c r="W41" s="38">
        <f>IF(AG41="2",I41,0)</f>
        <v>0</v>
      </c>
      <c r="X41" s="38">
        <f>IF(AG41="0",J41,0)</f>
        <v>0</v>
      </c>
      <c r="Y41" s="57" t="s">
        <v>80</v>
      </c>
      <c r="Z41" s="62">
        <f>IF(AD41=0,J41,0)</f>
        <v>0</v>
      </c>
      <c r="AA41" s="62">
        <f>IF(AD41=15,J41,0)</f>
        <v>0</v>
      </c>
      <c r="AB41" s="62">
        <f>IF(AD41=21,J41,0)</f>
        <v>2227.1232</v>
      </c>
      <c r="AD41" s="38">
        <v>21</v>
      </c>
      <c r="AE41" s="38">
        <f>G41*0.270871798555983</f>
        <v>78.55011286324951</v>
      </c>
      <c r="AF41" s="38">
        <f>G41*(1-0.270871798555983)</f>
        <v>211.4398871367505</v>
      </c>
      <c r="AG41" s="60" t="s">
        <v>97</v>
      </c>
      <c r="AM41" s="38">
        <f>F41*AE41</f>
        <v>603.2648667897562</v>
      </c>
      <c r="AN41" s="38">
        <f>F41*AF41</f>
        <v>1623.858333210244</v>
      </c>
      <c r="AO41" s="61" t="s">
        <v>312</v>
      </c>
      <c r="AP41" s="61" t="s">
        <v>326</v>
      </c>
      <c r="AQ41" s="57" t="s">
        <v>332</v>
      </c>
      <c r="AS41" s="38">
        <f>AM41+AN41</f>
        <v>2227.1232</v>
      </c>
      <c r="AT41" s="38">
        <f>G41/(100-AU41)*100</f>
        <v>289.99</v>
      </c>
      <c r="AU41" s="38">
        <v>0</v>
      </c>
      <c r="AV41" s="38">
        <f>L41</f>
        <v>0.4075008</v>
      </c>
    </row>
    <row r="42" spans="4:6" ht="12.75">
      <c r="D42" s="66" t="s">
        <v>244</v>
      </c>
      <c r="F42" s="67">
        <v>7.68</v>
      </c>
    </row>
    <row r="43" spans="1:37" ht="12.75">
      <c r="A43" s="45"/>
      <c r="B43" s="50" t="s">
        <v>80</v>
      </c>
      <c r="C43" s="50" t="s">
        <v>132</v>
      </c>
      <c r="D43" s="50" t="s">
        <v>147</v>
      </c>
      <c r="E43" s="45" t="s">
        <v>77</v>
      </c>
      <c r="F43" s="45" t="s">
        <v>77</v>
      </c>
      <c r="G43" s="45" t="s">
        <v>77</v>
      </c>
      <c r="H43" s="64">
        <f>SUM(H44:H61)</f>
        <v>46248.52927789171</v>
      </c>
      <c r="I43" s="64">
        <f>SUM(I44:I61)</f>
        <v>45437.08402210828</v>
      </c>
      <c r="J43" s="64">
        <f>H43+I43</f>
        <v>91685.6133</v>
      </c>
      <c r="K43" s="57"/>
      <c r="L43" s="64">
        <f>SUM(L44:L61)</f>
        <v>1.463984</v>
      </c>
      <c r="M43" s="57"/>
      <c r="Y43" s="57" t="s">
        <v>80</v>
      </c>
      <c r="AI43" s="64">
        <f>SUM(Z44:Z61)</f>
        <v>0</v>
      </c>
      <c r="AJ43" s="64">
        <f>SUM(AA44:AA61)</f>
        <v>0</v>
      </c>
      <c r="AK43" s="64">
        <f>SUM(AB44:AB61)</f>
        <v>91685.6133</v>
      </c>
    </row>
    <row r="44" spans="1:48" ht="12.75">
      <c r="A44" s="46" t="s">
        <v>166</v>
      </c>
      <c r="B44" s="46" t="s">
        <v>80</v>
      </c>
      <c r="C44" s="46" t="s">
        <v>197</v>
      </c>
      <c r="D44" s="46" t="s">
        <v>245</v>
      </c>
      <c r="E44" s="46" t="s">
        <v>303</v>
      </c>
      <c r="F44" s="62">
        <v>51.04</v>
      </c>
      <c r="G44" s="62">
        <v>620.4</v>
      </c>
      <c r="H44" s="62">
        <f>F44*AE44</f>
        <v>10798.174155957606</v>
      </c>
      <c r="I44" s="62">
        <f>J44-H44</f>
        <v>20867.04184404239</v>
      </c>
      <c r="J44" s="62">
        <f>F44*G44</f>
        <v>31665.215999999997</v>
      </c>
      <c r="K44" s="62">
        <v>0.0201</v>
      </c>
      <c r="L44" s="62">
        <f>F44*K44</f>
        <v>1.025904</v>
      </c>
      <c r="M44" s="60" t="s">
        <v>308</v>
      </c>
      <c r="P44" s="38">
        <f>IF(AG44="5",J44,0)</f>
        <v>0</v>
      </c>
      <c r="R44" s="38">
        <f>IF(AG44="1",H44,0)</f>
        <v>10798.174155957606</v>
      </c>
      <c r="S44" s="38">
        <f>IF(AG44="1",I44,0)</f>
        <v>20867.04184404239</v>
      </c>
      <c r="T44" s="38">
        <f>IF(AG44="7",H44,0)</f>
        <v>0</v>
      </c>
      <c r="U44" s="38">
        <f>IF(AG44="7",I44,0)</f>
        <v>0</v>
      </c>
      <c r="V44" s="38">
        <f>IF(AG44="2",H44,0)</f>
        <v>0</v>
      </c>
      <c r="W44" s="38">
        <f>IF(AG44="2",I44,0)</f>
        <v>0</v>
      </c>
      <c r="X44" s="38">
        <f>IF(AG44="0",J44,0)</f>
        <v>0</v>
      </c>
      <c r="Y44" s="57" t="s">
        <v>80</v>
      </c>
      <c r="Z44" s="62">
        <f>IF(AD44=0,J44,0)</f>
        <v>0</v>
      </c>
      <c r="AA44" s="62">
        <f>IF(AD44=15,J44,0)</f>
        <v>0</v>
      </c>
      <c r="AB44" s="62">
        <f>IF(AD44=21,J44,0)</f>
        <v>31665.215999999997</v>
      </c>
      <c r="AD44" s="38">
        <v>21</v>
      </c>
      <c r="AE44" s="38">
        <f>G44*0.341010595220876</f>
        <v>211.56297327503148</v>
      </c>
      <c r="AF44" s="38">
        <f>G44*(1-0.341010595220876)</f>
        <v>408.83702672496855</v>
      </c>
      <c r="AG44" s="60" t="s">
        <v>97</v>
      </c>
      <c r="AM44" s="38">
        <f>F44*AE44</f>
        <v>10798.174155957606</v>
      </c>
      <c r="AN44" s="38">
        <f>F44*AF44</f>
        <v>20867.041844042393</v>
      </c>
      <c r="AO44" s="61" t="s">
        <v>313</v>
      </c>
      <c r="AP44" s="61" t="s">
        <v>326</v>
      </c>
      <c r="AQ44" s="57" t="s">
        <v>332</v>
      </c>
      <c r="AS44" s="38">
        <f>AM44+AN44</f>
        <v>31665.216</v>
      </c>
      <c r="AT44" s="38">
        <f>G44/(100-AU44)*100</f>
        <v>620.4</v>
      </c>
      <c r="AU44" s="38">
        <v>0</v>
      </c>
      <c r="AV44" s="38">
        <f>L44</f>
        <v>1.025904</v>
      </c>
    </row>
    <row r="45" spans="4:6" ht="12.75">
      <c r="D45" s="66" t="s">
        <v>246</v>
      </c>
      <c r="F45" s="67">
        <v>19.53</v>
      </c>
    </row>
    <row r="46" spans="4:6" ht="12.75">
      <c r="D46" s="66" t="s">
        <v>247</v>
      </c>
      <c r="F46" s="67">
        <v>13.2</v>
      </c>
    </row>
    <row r="47" spans="4:6" ht="12.75">
      <c r="D47" s="66" t="s">
        <v>248</v>
      </c>
      <c r="F47" s="67">
        <v>10.31</v>
      </c>
    </row>
    <row r="48" spans="4:6" ht="12.75">
      <c r="D48" s="66" t="s">
        <v>249</v>
      </c>
      <c r="F48" s="67">
        <v>8</v>
      </c>
    </row>
    <row r="49" spans="1:48" ht="12.75">
      <c r="A49" s="46" t="s">
        <v>167</v>
      </c>
      <c r="B49" s="46" t="s">
        <v>80</v>
      </c>
      <c r="C49" s="46" t="s">
        <v>198</v>
      </c>
      <c r="D49" s="46" t="s">
        <v>250</v>
      </c>
      <c r="E49" s="46" t="s">
        <v>303</v>
      </c>
      <c r="F49" s="62">
        <v>44</v>
      </c>
      <c r="G49" s="62">
        <v>102.93</v>
      </c>
      <c r="H49" s="62">
        <f>F49*AE49</f>
        <v>2893.4400000000014</v>
      </c>
      <c r="I49" s="62">
        <f>J49-H49</f>
        <v>1635.4799999999987</v>
      </c>
      <c r="J49" s="62">
        <f>F49*G49</f>
        <v>4528.92</v>
      </c>
      <c r="K49" s="62">
        <v>0.00181</v>
      </c>
      <c r="L49" s="62">
        <f>F49*K49</f>
        <v>0.07964</v>
      </c>
      <c r="M49" s="60" t="s">
        <v>308</v>
      </c>
      <c r="P49" s="38">
        <f>IF(AG49="5",J49,0)</f>
        <v>0</v>
      </c>
      <c r="R49" s="38">
        <f>IF(AG49="1",H49,0)</f>
        <v>2893.4400000000014</v>
      </c>
      <c r="S49" s="38">
        <f>IF(AG49="1",I49,0)</f>
        <v>1635.4799999999987</v>
      </c>
      <c r="T49" s="38">
        <f>IF(AG49="7",H49,0)</f>
        <v>0</v>
      </c>
      <c r="U49" s="38">
        <f>IF(AG49="7",I49,0)</f>
        <v>0</v>
      </c>
      <c r="V49" s="38">
        <f>IF(AG49="2",H49,0)</f>
        <v>0</v>
      </c>
      <c r="W49" s="38">
        <f>IF(AG49="2",I49,0)</f>
        <v>0</v>
      </c>
      <c r="X49" s="38">
        <f>IF(AG49="0",J49,0)</f>
        <v>0</v>
      </c>
      <c r="Y49" s="57" t="s">
        <v>80</v>
      </c>
      <c r="Z49" s="62">
        <f>IF(AD49=0,J49,0)</f>
        <v>0</v>
      </c>
      <c r="AA49" s="62">
        <f>IF(AD49=15,J49,0)</f>
        <v>0</v>
      </c>
      <c r="AB49" s="62">
        <f>IF(AD49=21,J49,0)</f>
        <v>4528.92</v>
      </c>
      <c r="AD49" s="38">
        <v>21</v>
      </c>
      <c r="AE49" s="38">
        <f>G49*0.638880792771787</f>
        <v>65.76000000000003</v>
      </c>
      <c r="AF49" s="38">
        <f>G49*(1-0.638880792771787)</f>
        <v>37.169999999999966</v>
      </c>
      <c r="AG49" s="60" t="s">
        <v>97</v>
      </c>
      <c r="AM49" s="38">
        <f>F49*AE49</f>
        <v>2893.4400000000014</v>
      </c>
      <c r="AN49" s="38">
        <f>F49*AF49</f>
        <v>1635.4799999999984</v>
      </c>
      <c r="AO49" s="61" t="s">
        <v>313</v>
      </c>
      <c r="AP49" s="61" t="s">
        <v>326</v>
      </c>
      <c r="AQ49" s="57" t="s">
        <v>332</v>
      </c>
      <c r="AS49" s="38">
        <f>AM49+AN49</f>
        <v>4528.92</v>
      </c>
      <c r="AT49" s="38">
        <f>G49/(100-AU49)*100</f>
        <v>102.93</v>
      </c>
      <c r="AU49" s="38">
        <v>0</v>
      </c>
      <c r="AV49" s="38">
        <f>L49</f>
        <v>0.07964</v>
      </c>
    </row>
    <row r="50" spans="4:6" ht="12.75">
      <c r="D50" s="66" t="s">
        <v>251</v>
      </c>
      <c r="F50" s="67">
        <v>44</v>
      </c>
    </row>
    <row r="51" spans="1:48" ht="12.75">
      <c r="A51" s="46" t="s">
        <v>168</v>
      </c>
      <c r="B51" s="46" t="s">
        <v>80</v>
      </c>
      <c r="C51" s="46" t="s">
        <v>199</v>
      </c>
      <c r="D51" s="46" t="s">
        <v>252</v>
      </c>
      <c r="E51" s="46" t="s">
        <v>304</v>
      </c>
      <c r="F51" s="62">
        <v>19</v>
      </c>
      <c r="G51" s="62">
        <v>603</v>
      </c>
      <c r="H51" s="62">
        <f>F51*AE51</f>
        <v>133.0000000000005</v>
      </c>
      <c r="I51" s="62">
        <f>J51-H51</f>
        <v>11324</v>
      </c>
      <c r="J51" s="62">
        <f>F51*G51</f>
        <v>11457</v>
      </c>
      <c r="K51" s="62">
        <v>0.00024</v>
      </c>
      <c r="L51" s="62">
        <f>F51*K51</f>
        <v>0.00456</v>
      </c>
      <c r="M51" s="60" t="s">
        <v>308</v>
      </c>
      <c r="P51" s="38">
        <f>IF(AG51="5",J51,0)</f>
        <v>0</v>
      </c>
      <c r="R51" s="38">
        <f>IF(AG51="1",H51,0)</f>
        <v>133.0000000000005</v>
      </c>
      <c r="S51" s="38">
        <f>IF(AG51="1",I51,0)</f>
        <v>11324</v>
      </c>
      <c r="T51" s="38">
        <f>IF(AG51="7",H51,0)</f>
        <v>0</v>
      </c>
      <c r="U51" s="38">
        <f>IF(AG51="7",I51,0)</f>
        <v>0</v>
      </c>
      <c r="V51" s="38">
        <f>IF(AG51="2",H51,0)</f>
        <v>0</v>
      </c>
      <c r="W51" s="38">
        <f>IF(AG51="2",I51,0)</f>
        <v>0</v>
      </c>
      <c r="X51" s="38">
        <f>IF(AG51="0",J51,0)</f>
        <v>0</v>
      </c>
      <c r="Y51" s="57" t="s">
        <v>80</v>
      </c>
      <c r="Z51" s="62">
        <f>IF(AD51=0,J51,0)</f>
        <v>0</v>
      </c>
      <c r="AA51" s="62">
        <f>IF(AD51=15,J51,0)</f>
        <v>0</v>
      </c>
      <c r="AB51" s="62">
        <f>IF(AD51=21,J51,0)</f>
        <v>11457</v>
      </c>
      <c r="AD51" s="38">
        <v>21</v>
      </c>
      <c r="AE51" s="38">
        <f>G51*0.0116086235489221</f>
        <v>7.000000000000027</v>
      </c>
      <c r="AF51" s="38">
        <f>G51*(1-0.0116086235489221)</f>
        <v>596</v>
      </c>
      <c r="AG51" s="60" t="s">
        <v>97</v>
      </c>
      <c r="AM51" s="38">
        <f>F51*AE51</f>
        <v>133.0000000000005</v>
      </c>
      <c r="AN51" s="38">
        <f>F51*AF51</f>
        <v>11324</v>
      </c>
      <c r="AO51" s="61" t="s">
        <v>313</v>
      </c>
      <c r="AP51" s="61" t="s">
        <v>326</v>
      </c>
      <c r="AQ51" s="57" t="s">
        <v>332</v>
      </c>
      <c r="AS51" s="38">
        <f>AM51+AN51</f>
        <v>11457</v>
      </c>
      <c r="AT51" s="38">
        <f>G51/(100-AU51)*100</f>
        <v>603</v>
      </c>
      <c r="AU51" s="38">
        <v>0</v>
      </c>
      <c r="AV51" s="38">
        <f>L51</f>
        <v>0.00456</v>
      </c>
    </row>
    <row r="52" spans="4:6" ht="12.75">
      <c r="D52" s="66" t="s">
        <v>253</v>
      </c>
      <c r="F52" s="67">
        <v>19</v>
      </c>
    </row>
    <row r="53" spans="1:48" ht="12.75">
      <c r="A53" s="46" t="s">
        <v>128</v>
      </c>
      <c r="B53" s="46" t="s">
        <v>80</v>
      </c>
      <c r="C53" s="46" t="s">
        <v>200</v>
      </c>
      <c r="D53" s="46" t="s">
        <v>254</v>
      </c>
      <c r="E53" s="46" t="s">
        <v>305</v>
      </c>
      <c r="F53" s="62">
        <v>97</v>
      </c>
      <c r="G53" s="62">
        <v>184.14</v>
      </c>
      <c r="H53" s="62">
        <f>F53*AE53</f>
        <v>9699.99999999999</v>
      </c>
      <c r="I53" s="62">
        <f>J53-H53</f>
        <v>8161.580000000007</v>
      </c>
      <c r="J53" s="62">
        <f>F53*G53</f>
        <v>17861.579999999998</v>
      </c>
      <c r="K53" s="62">
        <v>0</v>
      </c>
      <c r="L53" s="62">
        <f>F53*K53</f>
        <v>0</v>
      </c>
      <c r="M53" s="60" t="s">
        <v>308</v>
      </c>
      <c r="P53" s="38">
        <f>IF(AG53="5",J53,0)</f>
        <v>0</v>
      </c>
      <c r="R53" s="38">
        <f>IF(AG53="1",H53,0)</f>
        <v>9699.99999999999</v>
      </c>
      <c r="S53" s="38">
        <f>IF(AG53="1",I53,0)</f>
        <v>8161.580000000007</v>
      </c>
      <c r="T53" s="38">
        <f>IF(AG53="7",H53,0)</f>
        <v>0</v>
      </c>
      <c r="U53" s="38">
        <f>IF(AG53="7",I53,0)</f>
        <v>0</v>
      </c>
      <c r="V53" s="38">
        <f>IF(AG53="2",H53,0)</f>
        <v>0</v>
      </c>
      <c r="W53" s="38">
        <f>IF(AG53="2",I53,0)</f>
        <v>0</v>
      </c>
      <c r="X53" s="38">
        <f>IF(AG53="0",J53,0)</f>
        <v>0</v>
      </c>
      <c r="Y53" s="57" t="s">
        <v>80</v>
      </c>
      <c r="Z53" s="62">
        <f>IF(AD53=0,J53,0)</f>
        <v>0</v>
      </c>
      <c r="AA53" s="62">
        <f>IF(AD53=15,J53,0)</f>
        <v>0</v>
      </c>
      <c r="AB53" s="62">
        <f>IF(AD53=21,J53,0)</f>
        <v>17861.579999999998</v>
      </c>
      <c r="AD53" s="38">
        <v>21</v>
      </c>
      <c r="AE53" s="38">
        <f>G53*0.543065059194091</f>
        <v>99.9999999999999</v>
      </c>
      <c r="AF53" s="38">
        <f>G53*(1-0.543065059194091)</f>
        <v>84.14000000000009</v>
      </c>
      <c r="AG53" s="60" t="s">
        <v>97</v>
      </c>
      <c r="AM53" s="38">
        <f>F53*AE53</f>
        <v>9699.99999999999</v>
      </c>
      <c r="AN53" s="38">
        <f>F53*AF53</f>
        <v>8161.580000000008</v>
      </c>
      <c r="AO53" s="61" t="s">
        <v>313</v>
      </c>
      <c r="AP53" s="61" t="s">
        <v>326</v>
      </c>
      <c r="AQ53" s="57" t="s">
        <v>332</v>
      </c>
      <c r="AS53" s="38">
        <f>AM53+AN53</f>
        <v>17861.579999999998</v>
      </c>
      <c r="AT53" s="38">
        <f>G53/(100-AU53)*100</f>
        <v>184.14</v>
      </c>
      <c r="AU53" s="38">
        <v>0</v>
      </c>
      <c r="AV53" s="38">
        <f>L53</f>
        <v>0</v>
      </c>
    </row>
    <row r="54" spans="4:6" ht="12.75">
      <c r="D54" s="66" t="s">
        <v>255</v>
      </c>
      <c r="F54" s="67">
        <v>97</v>
      </c>
    </row>
    <row r="55" spans="1:48" ht="12.75">
      <c r="A55" s="46" t="s">
        <v>169</v>
      </c>
      <c r="B55" s="46" t="s">
        <v>80</v>
      </c>
      <c r="C55" s="46" t="s">
        <v>201</v>
      </c>
      <c r="D55" s="46" t="s">
        <v>256</v>
      </c>
      <c r="E55" s="46" t="s">
        <v>305</v>
      </c>
      <c r="F55" s="62">
        <v>4.48</v>
      </c>
      <c r="G55" s="62">
        <v>828.01</v>
      </c>
      <c r="H55" s="62">
        <f>F55*AE55</f>
        <v>2644.5026219341153</v>
      </c>
      <c r="I55" s="62">
        <f>J55-H55</f>
        <v>1064.982178065885</v>
      </c>
      <c r="J55" s="62">
        <f>F55*G55</f>
        <v>3709.4848</v>
      </c>
      <c r="K55" s="62">
        <v>0.064</v>
      </c>
      <c r="L55" s="62">
        <f>F55*K55</f>
        <v>0.28672000000000003</v>
      </c>
      <c r="M55" s="60" t="s">
        <v>308</v>
      </c>
      <c r="P55" s="38">
        <f>IF(AG55="5",J55,0)</f>
        <v>0</v>
      </c>
      <c r="R55" s="38">
        <f>IF(AG55="1",H55,0)</f>
        <v>2644.5026219341153</v>
      </c>
      <c r="S55" s="38">
        <f>IF(AG55="1",I55,0)</f>
        <v>1064.982178065885</v>
      </c>
      <c r="T55" s="38">
        <f>IF(AG55="7",H55,0)</f>
        <v>0</v>
      </c>
      <c r="U55" s="38">
        <f>IF(AG55="7",I55,0)</f>
        <v>0</v>
      </c>
      <c r="V55" s="38">
        <f>IF(AG55="2",H55,0)</f>
        <v>0</v>
      </c>
      <c r="W55" s="38">
        <f>IF(AG55="2",I55,0)</f>
        <v>0</v>
      </c>
      <c r="X55" s="38">
        <f>IF(AG55="0",J55,0)</f>
        <v>0</v>
      </c>
      <c r="Y55" s="57" t="s">
        <v>80</v>
      </c>
      <c r="Z55" s="62">
        <f>IF(AD55=0,J55,0)</f>
        <v>0</v>
      </c>
      <c r="AA55" s="62">
        <f>IF(AD55=15,J55,0)</f>
        <v>0</v>
      </c>
      <c r="AB55" s="62">
        <f>IF(AD55=21,J55,0)</f>
        <v>3709.4848</v>
      </c>
      <c r="AD55" s="38">
        <v>21</v>
      </c>
      <c r="AE55" s="38">
        <f>G55*0.712902940573881</f>
        <v>590.2907638245792</v>
      </c>
      <c r="AF55" s="38">
        <f>G55*(1-0.712902940573881)</f>
        <v>237.71923617542075</v>
      </c>
      <c r="AG55" s="60" t="s">
        <v>97</v>
      </c>
      <c r="AM55" s="38">
        <f>F55*AE55</f>
        <v>2644.5026219341153</v>
      </c>
      <c r="AN55" s="38">
        <f>F55*AF55</f>
        <v>1064.9821780658851</v>
      </c>
      <c r="AO55" s="61" t="s">
        <v>313</v>
      </c>
      <c r="AP55" s="61" t="s">
        <v>326</v>
      </c>
      <c r="AQ55" s="57" t="s">
        <v>332</v>
      </c>
      <c r="AS55" s="38">
        <f>AM55+AN55</f>
        <v>3709.4848</v>
      </c>
      <c r="AT55" s="38">
        <f>G55/(100-AU55)*100</f>
        <v>828.0099999999999</v>
      </c>
      <c r="AU55" s="38">
        <v>0</v>
      </c>
      <c r="AV55" s="38">
        <f>L55</f>
        <v>0.28672000000000003</v>
      </c>
    </row>
    <row r="56" spans="4:6" ht="12.75">
      <c r="D56" s="66" t="s">
        <v>257</v>
      </c>
      <c r="F56" s="67">
        <v>4.48</v>
      </c>
    </row>
    <row r="57" spans="1:48" ht="12.75">
      <c r="A57" s="65" t="s">
        <v>170</v>
      </c>
      <c r="B57" s="65" t="s">
        <v>80</v>
      </c>
      <c r="C57" s="65" t="s">
        <v>202</v>
      </c>
      <c r="D57" s="65" t="s">
        <v>258</v>
      </c>
      <c r="E57" s="65" t="s">
        <v>304</v>
      </c>
      <c r="F57" s="69">
        <v>7</v>
      </c>
      <c r="G57" s="69">
        <v>2693.4075</v>
      </c>
      <c r="H57" s="69">
        <f>F57*AE57</f>
        <v>18853.852499999997</v>
      </c>
      <c r="I57" s="69">
        <f>J57-H57</f>
        <v>0</v>
      </c>
      <c r="J57" s="69">
        <f>F57*G57</f>
        <v>18853.852499999997</v>
      </c>
      <c r="K57" s="69">
        <v>0.009</v>
      </c>
      <c r="L57" s="69">
        <f>F57*K57</f>
        <v>0.063</v>
      </c>
      <c r="M57" s="68" t="s">
        <v>308</v>
      </c>
      <c r="P57" s="38">
        <f>IF(AG57="5",J57,0)</f>
        <v>0</v>
      </c>
      <c r="R57" s="38">
        <f>IF(AG57="1",H57,0)</f>
        <v>18853.852499999997</v>
      </c>
      <c r="S57" s="38">
        <f>IF(AG57="1",I57,0)</f>
        <v>0</v>
      </c>
      <c r="T57" s="38">
        <f>IF(AG57="7",H57,0)</f>
        <v>0</v>
      </c>
      <c r="U57" s="38">
        <f>IF(AG57="7",I57,0)</f>
        <v>0</v>
      </c>
      <c r="V57" s="38">
        <f>IF(AG57="2",H57,0)</f>
        <v>0</v>
      </c>
      <c r="W57" s="38">
        <f>IF(AG57="2",I57,0)</f>
        <v>0</v>
      </c>
      <c r="X57" s="38">
        <f>IF(AG57="0",J57,0)</f>
        <v>0</v>
      </c>
      <c r="Y57" s="57" t="s">
        <v>80</v>
      </c>
      <c r="Z57" s="69">
        <f>IF(AD57=0,J57,0)</f>
        <v>0</v>
      </c>
      <c r="AA57" s="69">
        <f>IF(AD57=15,J57,0)</f>
        <v>0</v>
      </c>
      <c r="AB57" s="69">
        <f>IF(AD57=21,J57,0)</f>
        <v>18853.852499999997</v>
      </c>
      <c r="AD57" s="38">
        <v>21</v>
      </c>
      <c r="AE57" s="38">
        <f>G57*1</f>
        <v>2693.4075</v>
      </c>
      <c r="AF57" s="38">
        <f>G57*(1-1)</f>
        <v>0</v>
      </c>
      <c r="AG57" s="68" t="s">
        <v>97</v>
      </c>
      <c r="AM57" s="38">
        <f>F57*AE57</f>
        <v>18853.852499999997</v>
      </c>
      <c r="AN57" s="38">
        <f>F57*AF57</f>
        <v>0</v>
      </c>
      <c r="AO57" s="61" t="s">
        <v>313</v>
      </c>
      <c r="AP57" s="61" t="s">
        <v>326</v>
      </c>
      <c r="AQ57" s="57" t="s">
        <v>332</v>
      </c>
      <c r="AS57" s="38">
        <f>AM57+AN57</f>
        <v>18853.852499999997</v>
      </c>
      <c r="AT57" s="38">
        <f>G57/(100-AU57)*100</f>
        <v>2693.4075</v>
      </c>
      <c r="AU57" s="38">
        <v>0</v>
      </c>
      <c r="AV57" s="38">
        <f>L57</f>
        <v>0.063</v>
      </c>
    </row>
    <row r="58" spans="4:6" ht="12.75">
      <c r="D58" s="66" t="s">
        <v>122</v>
      </c>
      <c r="F58" s="67">
        <v>7</v>
      </c>
    </row>
    <row r="59" spans="1:48" ht="12.75">
      <c r="A59" s="46" t="s">
        <v>129</v>
      </c>
      <c r="B59" s="46" t="s">
        <v>80</v>
      </c>
      <c r="C59" s="46" t="s">
        <v>199</v>
      </c>
      <c r="D59" s="46" t="s">
        <v>259</v>
      </c>
      <c r="E59" s="46" t="s">
        <v>304</v>
      </c>
      <c r="F59" s="62">
        <v>4</v>
      </c>
      <c r="G59" s="62">
        <v>603</v>
      </c>
      <c r="H59" s="62">
        <f>F59*AE59</f>
        <v>28.000000000000107</v>
      </c>
      <c r="I59" s="62">
        <f>J59-H59</f>
        <v>2384</v>
      </c>
      <c r="J59" s="62">
        <f>F59*G59</f>
        <v>2412</v>
      </c>
      <c r="K59" s="62">
        <v>0.00024</v>
      </c>
      <c r="L59" s="62">
        <f>F59*K59</f>
        <v>0.00096</v>
      </c>
      <c r="M59" s="60" t="s">
        <v>308</v>
      </c>
      <c r="P59" s="38">
        <f>IF(AG59="5",J59,0)</f>
        <v>0</v>
      </c>
      <c r="R59" s="38">
        <f>IF(AG59="1",H59,0)</f>
        <v>28.000000000000107</v>
      </c>
      <c r="S59" s="38">
        <f>IF(AG59="1",I59,0)</f>
        <v>2384</v>
      </c>
      <c r="T59" s="38">
        <f>IF(AG59="7",H59,0)</f>
        <v>0</v>
      </c>
      <c r="U59" s="38">
        <f>IF(AG59="7",I59,0)</f>
        <v>0</v>
      </c>
      <c r="V59" s="38">
        <f>IF(AG59="2",H59,0)</f>
        <v>0</v>
      </c>
      <c r="W59" s="38">
        <f>IF(AG59="2",I59,0)</f>
        <v>0</v>
      </c>
      <c r="X59" s="38">
        <f>IF(AG59="0",J59,0)</f>
        <v>0</v>
      </c>
      <c r="Y59" s="57" t="s">
        <v>80</v>
      </c>
      <c r="Z59" s="62">
        <f>IF(AD59=0,J59,0)</f>
        <v>0</v>
      </c>
      <c r="AA59" s="62">
        <f>IF(AD59=15,J59,0)</f>
        <v>0</v>
      </c>
      <c r="AB59" s="62">
        <f>IF(AD59=21,J59,0)</f>
        <v>2412</v>
      </c>
      <c r="AD59" s="38">
        <v>21</v>
      </c>
      <c r="AE59" s="38">
        <f>G59*0.0116086235489221</f>
        <v>7.000000000000027</v>
      </c>
      <c r="AF59" s="38">
        <f>G59*(1-0.0116086235489221)</f>
        <v>596</v>
      </c>
      <c r="AG59" s="60" t="s">
        <v>97</v>
      </c>
      <c r="AM59" s="38">
        <f>F59*AE59</f>
        <v>28.000000000000107</v>
      </c>
      <c r="AN59" s="38">
        <f>F59*AF59</f>
        <v>2384</v>
      </c>
      <c r="AO59" s="61" t="s">
        <v>313</v>
      </c>
      <c r="AP59" s="61" t="s">
        <v>326</v>
      </c>
      <c r="AQ59" s="57" t="s">
        <v>332</v>
      </c>
      <c r="AS59" s="38">
        <f>AM59+AN59</f>
        <v>2412</v>
      </c>
      <c r="AT59" s="38">
        <f>G59/(100-AU59)*100</f>
        <v>603</v>
      </c>
      <c r="AU59" s="38">
        <v>0</v>
      </c>
      <c r="AV59" s="38">
        <f>L59</f>
        <v>0.00096</v>
      </c>
    </row>
    <row r="60" spans="4:6" ht="12.75">
      <c r="D60" s="66" t="s">
        <v>260</v>
      </c>
      <c r="F60" s="67">
        <v>4</v>
      </c>
    </row>
    <row r="61" spans="1:48" ht="12.75">
      <c r="A61" s="65" t="s">
        <v>171</v>
      </c>
      <c r="B61" s="65" t="s">
        <v>80</v>
      </c>
      <c r="C61" s="65" t="s">
        <v>203</v>
      </c>
      <c r="D61" s="65" t="s">
        <v>261</v>
      </c>
      <c r="E61" s="65" t="s">
        <v>304</v>
      </c>
      <c r="F61" s="69">
        <v>4</v>
      </c>
      <c r="G61" s="69">
        <v>299.39</v>
      </c>
      <c r="H61" s="69">
        <f>F61*AE61</f>
        <v>1197.56</v>
      </c>
      <c r="I61" s="69">
        <f>J61-H61</f>
        <v>0</v>
      </c>
      <c r="J61" s="69">
        <f>F61*G61</f>
        <v>1197.56</v>
      </c>
      <c r="K61" s="69">
        <v>0.0008</v>
      </c>
      <c r="L61" s="69">
        <f>F61*K61</f>
        <v>0.0032</v>
      </c>
      <c r="M61" s="68" t="s">
        <v>308</v>
      </c>
      <c r="P61" s="38">
        <f>IF(AG61="5",J61,0)</f>
        <v>0</v>
      </c>
      <c r="R61" s="38">
        <f>IF(AG61="1",H61,0)</f>
        <v>1197.56</v>
      </c>
      <c r="S61" s="38">
        <f>IF(AG61="1",I61,0)</f>
        <v>0</v>
      </c>
      <c r="T61" s="38">
        <f>IF(AG61="7",H61,0)</f>
        <v>0</v>
      </c>
      <c r="U61" s="38">
        <f>IF(AG61="7",I61,0)</f>
        <v>0</v>
      </c>
      <c r="V61" s="38">
        <f>IF(AG61="2",H61,0)</f>
        <v>0</v>
      </c>
      <c r="W61" s="38">
        <f>IF(AG61="2",I61,0)</f>
        <v>0</v>
      </c>
      <c r="X61" s="38">
        <f>IF(AG61="0",J61,0)</f>
        <v>0</v>
      </c>
      <c r="Y61" s="57" t="s">
        <v>80</v>
      </c>
      <c r="Z61" s="69">
        <f>IF(AD61=0,J61,0)</f>
        <v>0</v>
      </c>
      <c r="AA61" s="69">
        <f>IF(AD61=15,J61,0)</f>
        <v>0</v>
      </c>
      <c r="AB61" s="69">
        <f>IF(AD61=21,J61,0)</f>
        <v>1197.56</v>
      </c>
      <c r="AD61" s="38">
        <v>21</v>
      </c>
      <c r="AE61" s="38">
        <f>G61*1</f>
        <v>299.39</v>
      </c>
      <c r="AF61" s="38">
        <f>G61*(1-1)</f>
        <v>0</v>
      </c>
      <c r="AG61" s="68" t="s">
        <v>97</v>
      </c>
      <c r="AM61" s="38">
        <f>F61*AE61</f>
        <v>1197.56</v>
      </c>
      <c r="AN61" s="38">
        <f>F61*AF61</f>
        <v>0</v>
      </c>
      <c r="AO61" s="61" t="s">
        <v>313</v>
      </c>
      <c r="AP61" s="61" t="s">
        <v>326</v>
      </c>
      <c r="AQ61" s="57" t="s">
        <v>332</v>
      </c>
      <c r="AS61" s="38">
        <f>AM61+AN61</f>
        <v>1197.56</v>
      </c>
      <c r="AT61" s="38">
        <f>G61/(100-AU61)*100</f>
        <v>299.39</v>
      </c>
      <c r="AU61" s="38">
        <v>0</v>
      </c>
      <c r="AV61" s="38">
        <f>L61</f>
        <v>0.0032</v>
      </c>
    </row>
    <row r="62" spans="4:6" ht="12.75">
      <c r="D62" s="66" t="s">
        <v>161</v>
      </c>
      <c r="F62" s="67">
        <v>4</v>
      </c>
    </row>
    <row r="63" spans="1:37" ht="12.75">
      <c r="A63" s="45"/>
      <c r="B63" s="50" t="s">
        <v>80</v>
      </c>
      <c r="C63" s="50" t="s">
        <v>133</v>
      </c>
      <c r="D63" s="50" t="s">
        <v>148</v>
      </c>
      <c r="E63" s="45" t="s">
        <v>77</v>
      </c>
      <c r="F63" s="45" t="s">
        <v>77</v>
      </c>
      <c r="G63" s="45" t="s">
        <v>77</v>
      </c>
      <c r="H63" s="64">
        <f>SUM(H64:H64)</f>
        <v>1152.768000000002</v>
      </c>
      <c r="I63" s="64">
        <f>SUM(I64:I64)</f>
        <v>7052.031999999999</v>
      </c>
      <c r="J63" s="64">
        <f>H63+I63</f>
        <v>8204.800000000001</v>
      </c>
      <c r="K63" s="57"/>
      <c r="L63" s="64">
        <f>SUM(L64:L64)</f>
        <v>1.220096</v>
      </c>
      <c r="M63" s="57"/>
      <c r="Y63" s="57" t="s">
        <v>80</v>
      </c>
      <c r="AI63" s="64">
        <f>SUM(Z64:Z64)</f>
        <v>0</v>
      </c>
      <c r="AJ63" s="64">
        <f>SUM(AA64:AA64)</f>
        <v>0</v>
      </c>
      <c r="AK63" s="64">
        <f>SUM(AB64:AB64)</f>
        <v>8204.800000000001</v>
      </c>
    </row>
    <row r="64" spans="1:48" ht="12.75">
      <c r="A64" s="46" t="s">
        <v>172</v>
      </c>
      <c r="B64" s="46" t="s">
        <v>80</v>
      </c>
      <c r="C64" s="46" t="s">
        <v>204</v>
      </c>
      <c r="D64" s="46" t="s">
        <v>262</v>
      </c>
      <c r="E64" s="46" t="s">
        <v>303</v>
      </c>
      <c r="F64" s="62">
        <v>25.6</v>
      </c>
      <c r="G64" s="62">
        <v>320.5</v>
      </c>
      <c r="H64" s="62">
        <f>F64*AE64</f>
        <v>1152.768000000002</v>
      </c>
      <c r="I64" s="62">
        <f>J64-H64</f>
        <v>7052.031999999999</v>
      </c>
      <c r="J64" s="62">
        <f>F64*G64</f>
        <v>8204.800000000001</v>
      </c>
      <c r="K64" s="62">
        <v>0.04766</v>
      </c>
      <c r="L64" s="62">
        <f>F64*K64</f>
        <v>1.220096</v>
      </c>
      <c r="M64" s="60" t="s">
        <v>308</v>
      </c>
      <c r="P64" s="38">
        <f>IF(AG64="5",J64,0)</f>
        <v>0</v>
      </c>
      <c r="R64" s="38">
        <f>IF(AG64="1",H64,0)</f>
        <v>1152.768000000002</v>
      </c>
      <c r="S64" s="38">
        <f>IF(AG64="1",I64,0)</f>
        <v>7052.031999999999</v>
      </c>
      <c r="T64" s="38">
        <f>IF(AG64="7",H64,0)</f>
        <v>0</v>
      </c>
      <c r="U64" s="38">
        <f>IF(AG64="7",I64,0)</f>
        <v>0</v>
      </c>
      <c r="V64" s="38">
        <f>IF(AG64="2",H64,0)</f>
        <v>0</v>
      </c>
      <c r="W64" s="38">
        <f>IF(AG64="2",I64,0)</f>
        <v>0</v>
      </c>
      <c r="X64" s="38">
        <f>IF(AG64="0",J64,0)</f>
        <v>0</v>
      </c>
      <c r="Y64" s="57" t="s">
        <v>80</v>
      </c>
      <c r="Z64" s="62">
        <f>IF(AD64=0,J64,0)</f>
        <v>0</v>
      </c>
      <c r="AA64" s="62">
        <f>IF(AD64=15,J64,0)</f>
        <v>0</v>
      </c>
      <c r="AB64" s="62">
        <f>IF(AD64=21,J64,0)</f>
        <v>8204.800000000001</v>
      </c>
      <c r="AD64" s="38">
        <v>21</v>
      </c>
      <c r="AE64" s="38">
        <f>G64*0.140499219968799</f>
        <v>45.03000000000008</v>
      </c>
      <c r="AF64" s="38">
        <f>G64*(1-0.140499219968799)</f>
        <v>275.4699999999999</v>
      </c>
      <c r="AG64" s="60" t="s">
        <v>97</v>
      </c>
      <c r="AM64" s="38">
        <f>F64*AE64</f>
        <v>1152.768000000002</v>
      </c>
      <c r="AN64" s="38">
        <f>F64*AF64</f>
        <v>7052.031999999998</v>
      </c>
      <c r="AO64" s="61" t="s">
        <v>314</v>
      </c>
      <c r="AP64" s="61" t="s">
        <v>327</v>
      </c>
      <c r="AQ64" s="57" t="s">
        <v>332</v>
      </c>
      <c r="AS64" s="38">
        <f>AM64+AN64</f>
        <v>8204.800000000001</v>
      </c>
      <c r="AT64" s="38">
        <f>G64/(100-AU64)*100</f>
        <v>320.5</v>
      </c>
      <c r="AU64" s="38">
        <v>0</v>
      </c>
      <c r="AV64" s="38">
        <f>L64</f>
        <v>1.220096</v>
      </c>
    </row>
    <row r="65" spans="4:6" ht="12.75">
      <c r="D65" s="66" t="s">
        <v>263</v>
      </c>
      <c r="F65" s="67">
        <v>25.6</v>
      </c>
    </row>
    <row r="66" spans="1:37" ht="12.75">
      <c r="A66" s="45"/>
      <c r="B66" s="50" t="s">
        <v>80</v>
      </c>
      <c r="C66" s="50" t="s">
        <v>134</v>
      </c>
      <c r="D66" s="50" t="s">
        <v>149</v>
      </c>
      <c r="E66" s="45" t="s">
        <v>77</v>
      </c>
      <c r="F66" s="45" t="s">
        <v>77</v>
      </c>
      <c r="G66" s="45" t="s">
        <v>77</v>
      </c>
      <c r="H66" s="64">
        <f>SUM(H67:H67)</f>
        <v>3935.280000000002</v>
      </c>
      <c r="I66" s="64">
        <f>SUM(I67:I67)</f>
        <v>3408.7799999999975</v>
      </c>
      <c r="J66" s="64">
        <f>H66+I66</f>
        <v>7344.0599999999995</v>
      </c>
      <c r="K66" s="57"/>
      <c r="L66" s="64">
        <f>SUM(L67:L67)</f>
        <v>0.09264</v>
      </c>
      <c r="M66" s="57"/>
      <c r="Y66" s="57" t="s">
        <v>80</v>
      </c>
      <c r="AI66" s="64">
        <f>SUM(Z67:Z67)</f>
        <v>0</v>
      </c>
      <c r="AJ66" s="64">
        <f>SUM(AA67:AA67)</f>
        <v>0</v>
      </c>
      <c r="AK66" s="64">
        <f>SUM(AB67:AB67)</f>
        <v>7344.0599999999995</v>
      </c>
    </row>
    <row r="67" spans="1:48" ht="12.75">
      <c r="A67" s="46" t="s">
        <v>173</v>
      </c>
      <c r="B67" s="46" t="s">
        <v>80</v>
      </c>
      <c r="C67" s="46" t="s">
        <v>205</v>
      </c>
      <c r="D67" s="46" t="s">
        <v>264</v>
      </c>
      <c r="E67" s="46" t="s">
        <v>304</v>
      </c>
      <c r="F67" s="62">
        <v>6</v>
      </c>
      <c r="G67" s="62">
        <v>1224.01</v>
      </c>
      <c r="H67" s="62">
        <f>F67*AE67</f>
        <v>3935.280000000002</v>
      </c>
      <c r="I67" s="62">
        <f>J67-H67</f>
        <v>3408.7799999999975</v>
      </c>
      <c r="J67" s="62">
        <f>F67*G67</f>
        <v>7344.0599999999995</v>
      </c>
      <c r="K67" s="62">
        <v>0.01544</v>
      </c>
      <c r="L67" s="62">
        <f>F67*K67</f>
        <v>0.09264</v>
      </c>
      <c r="M67" s="60" t="s">
        <v>308</v>
      </c>
      <c r="P67" s="38">
        <f>IF(AG67="5",J67,0)</f>
        <v>0</v>
      </c>
      <c r="R67" s="38">
        <f>IF(AG67="1",H67,0)</f>
        <v>3935.280000000002</v>
      </c>
      <c r="S67" s="38">
        <f>IF(AG67="1",I67,0)</f>
        <v>3408.7799999999975</v>
      </c>
      <c r="T67" s="38">
        <f>IF(AG67="7",H67,0)</f>
        <v>0</v>
      </c>
      <c r="U67" s="38">
        <f>IF(AG67="7",I67,0)</f>
        <v>0</v>
      </c>
      <c r="V67" s="38">
        <f>IF(AG67="2",H67,0)</f>
        <v>0</v>
      </c>
      <c r="W67" s="38">
        <f>IF(AG67="2",I67,0)</f>
        <v>0</v>
      </c>
      <c r="X67" s="38">
        <f>IF(AG67="0",J67,0)</f>
        <v>0</v>
      </c>
      <c r="Y67" s="57" t="s">
        <v>80</v>
      </c>
      <c r="Z67" s="62">
        <f>IF(AD67=0,J67,0)</f>
        <v>0</v>
      </c>
      <c r="AA67" s="62">
        <f>IF(AD67=15,J67,0)</f>
        <v>0</v>
      </c>
      <c r="AB67" s="62">
        <f>IF(AD67=21,J67,0)</f>
        <v>7344.0599999999995</v>
      </c>
      <c r="AD67" s="38">
        <v>21</v>
      </c>
      <c r="AE67" s="38">
        <f>G67*0.535845295381574</f>
        <v>655.8800000000003</v>
      </c>
      <c r="AF67" s="38">
        <f>G67*(1-0.535845295381574)</f>
        <v>568.1299999999997</v>
      </c>
      <c r="AG67" s="60" t="s">
        <v>97</v>
      </c>
      <c r="AM67" s="38">
        <f>F67*AE67</f>
        <v>3935.280000000002</v>
      </c>
      <c r="AN67" s="38">
        <f>F67*AF67</f>
        <v>3408.779999999998</v>
      </c>
      <c r="AO67" s="61" t="s">
        <v>315</v>
      </c>
      <c r="AP67" s="61" t="s">
        <v>327</v>
      </c>
      <c r="AQ67" s="57" t="s">
        <v>332</v>
      </c>
      <c r="AS67" s="38">
        <f>AM67+AN67</f>
        <v>7344.0599999999995</v>
      </c>
      <c r="AT67" s="38">
        <f>G67/(100-AU67)*100</f>
        <v>1224.01</v>
      </c>
      <c r="AU67" s="38">
        <v>0</v>
      </c>
      <c r="AV67" s="38">
        <f>L67</f>
        <v>0.09264</v>
      </c>
    </row>
    <row r="68" spans="4:6" ht="12.75">
      <c r="D68" s="66" t="s">
        <v>265</v>
      </c>
      <c r="F68" s="67">
        <v>6</v>
      </c>
    </row>
    <row r="69" spans="1:37" ht="12.75">
      <c r="A69" s="45"/>
      <c r="B69" s="50" t="s">
        <v>80</v>
      </c>
      <c r="C69" s="50" t="s">
        <v>135</v>
      </c>
      <c r="D69" s="50" t="s">
        <v>150</v>
      </c>
      <c r="E69" s="45" t="s">
        <v>77</v>
      </c>
      <c r="F69" s="45" t="s">
        <v>77</v>
      </c>
      <c r="G69" s="45" t="s">
        <v>77</v>
      </c>
      <c r="H69" s="64">
        <f>SUM(H70:H72)</f>
        <v>37.88</v>
      </c>
      <c r="I69" s="64">
        <f>SUM(I70:I72)</f>
        <v>236.84</v>
      </c>
      <c r="J69" s="64">
        <f>H69+I69</f>
        <v>274.72</v>
      </c>
      <c r="K69" s="57"/>
      <c r="L69" s="64">
        <f>SUM(L70:L72)</f>
        <v>0.00016</v>
      </c>
      <c r="M69" s="57"/>
      <c r="Y69" s="57" t="s">
        <v>80</v>
      </c>
      <c r="AI69" s="64">
        <f>SUM(Z70:Z72)</f>
        <v>0</v>
      </c>
      <c r="AJ69" s="64">
        <f>SUM(AA70:AA72)</f>
        <v>0</v>
      </c>
      <c r="AK69" s="64">
        <f>SUM(AB70:AB72)</f>
        <v>274.72</v>
      </c>
    </row>
    <row r="70" spans="1:48" ht="12.75">
      <c r="A70" s="46" t="s">
        <v>174</v>
      </c>
      <c r="B70" s="46" t="s">
        <v>80</v>
      </c>
      <c r="C70" s="46" t="s">
        <v>206</v>
      </c>
      <c r="D70" s="46" t="s">
        <v>266</v>
      </c>
      <c r="E70" s="46" t="s">
        <v>304</v>
      </c>
      <c r="F70" s="62">
        <v>4</v>
      </c>
      <c r="G70" s="62">
        <v>59.21</v>
      </c>
      <c r="H70" s="62">
        <f>F70*AE70</f>
        <v>0</v>
      </c>
      <c r="I70" s="62">
        <f>J70-H70</f>
        <v>236.84</v>
      </c>
      <c r="J70" s="62">
        <f>F70*G70</f>
        <v>236.84</v>
      </c>
      <c r="K70" s="62">
        <v>0</v>
      </c>
      <c r="L70" s="62">
        <f>F70*K70</f>
        <v>0</v>
      </c>
      <c r="M70" s="60" t="s">
        <v>308</v>
      </c>
      <c r="P70" s="38">
        <f>IF(AG70="5",J70,0)</f>
        <v>0</v>
      </c>
      <c r="R70" s="38">
        <f>IF(AG70="1",H70,0)</f>
        <v>0</v>
      </c>
      <c r="S70" s="38">
        <f>IF(AG70="1",I70,0)</f>
        <v>0</v>
      </c>
      <c r="T70" s="38">
        <f>IF(AG70="7",H70,0)</f>
        <v>0</v>
      </c>
      <c r="U70" s="38">
        <f>IF(AG70="7",I70,0)</f>
        <v>236.84</v>
      </c>
      <c r="V70" s="38">
        <f>IF(AG70="2",H70,0)</f>
        <v>0</v>
      </c>
      <c r="W70" s="38">
        <f>IF(AG70="2",I70,0)</f>
        <v>0</v>
      </c>
      <c r="X70" s="38">
        <f>IF(AG70="0",J70,0)</f>
        <v>0</v>
      </c>
      <c r="Y70" s="57" t="s">
        <v>80</v>
      </c>
      <c r="Z70" s="62">
        <f>IF(AD70=0,J70,0)</f>
        <v>0</v>
      </c>
      <c r="AA70" s="62">
        <f>IF(AD70=15,J70,0)</f>
        <v>0</v>
      </c>
      <c r="AB70" s="62">
        <f>IF(AD70=21,J70,0)</f>
        <v>236.84</v>
      </c>
      <c r="AD70" s="38">
        <v>21</v>
      </c>
      <c r="AE70" s="38">
        <f>G70*0</f>
        <v>0</v>
      </c>
      <c r="AF70" s="38">
        <f>G70*(1-0)</f>
        <v>59.21</v>
      </c>
      <c r="AG70" s="60" t="s">
        <v>122</v>
      </c>
      <c r="AM70" s="38">
        <f>F70*AE70</f>
        <v>0</v>
      </c>
      <c r="AN70" s="38">
        <f>F70*AF70</f>
        <v>236.84</v>
      </c>
      <c r="AO70" s="61" t="s">
        <v>316</v>
      </c>
      <c r="AP70" s="61" t="s">
        <v>328</v>
      </c>
      <c r="AQ70" s="57" t="s">
        <v>332</v>
      </c>
      <c r="AS70" s="38">
        <f>AM70+AN70</f>
        <v>236.84</v>
      </c>
      <c r="AT70" s="38">
        <f>G70/(100-AU70)*100</f>
        <v>59.209999999999994</v>
      </c>
      <c r="AU70" s="38">
        <v>0</v>
      </c>
      <c r="AV70" s="38">
        <f>L70</f>
        <v>0</v>
      </c>
    </row>
    <row r="71" spans="4:6" ht="12.75">
      <c r="D71" s="66" t="s">
        <v>161</v>
      </c>
      <c r="F71" s="67">
        <v>4</v>
      </c>
    </row>
    <row r="72" spans="1:48" ht="12.75">
      <c r="A72" s="65" t="s">
        <v>175</v>
      </c>
      <c r="B72" s="65" t="s">
        <v>80</v>
      </c>
      <c r="C72" s="65" t="s">
        <v>207</v>
      </c>
      <c r="D72" s="65" t="s">
        <v>267</v>
      </c>
      <c r="E72" s="65" t="s">
        <v>304</v>
      </c>
      <c r="F72" s="69">
        <v>4</v>
      </c>
      <c r="G72" s="69">
        <v>9.47</v>
      </c>
      <c r="H72" s="69">
        <f>F72*AE72</f>
        <v>37.88</v>
      </c>
      <c r="I72" s="69">
        <f>J72-H72</f>
        <v>0</v>
      </c>
      <c r="J72" s="69">
        <f>F72*G72</f>
        <v>37.88</v>
      </c>
      <c r="K72" s="69">
        <v>4E-05</v>
      </c>
      <c r="L72" s="69">
        <f>F72*K72</f>
        <v>0.00016</v>
      </c>
      <c r="M72" s="68" t="s">
        <v>308</v>
      </c>
      <c r="P72" s="38">
        <f>IF(AG72="5",J72,0)</f>
        <v>0</v>
      </c>
      <c r="R72" s="38">
        <f>IF(AG72="1",H72,0)</f>
        <v>0</v>
      </c>
      <c r="S72" s="38">
        <f>IF(AG72="1",I72,0)</f>
        <v>0</v>
      </c>
      <c r="T72" s="38">
        <f>IF(AG72="7",H72,0)</f>
        <v>37.88</v>
      </c>
      <c r="U72" s="38">
        <f>IF(AG72="7",I72,0)</f>
        <v>0</v>
      </c>
      <c r="V72" s="38">
        <f>IF(AG72="2",H72,0)</f>
        <v>0</v>
      </c>
      <c r="W72" s="38">
        <f>IF(AG72="2",I72,0)</f>
        <v>0</v>
      </c>
      <c r="X72" s="38">
        <f>IF(AG72="0",J72,0)</f>
        <v>0</v>
      </c>
      <c r="Y72" s="57" t="s">
        <v>80</v>
      </c>
      <c r="Z72" s="69">
        <f>IF(AD72=0,J72,0)</f>
        <v>0</v>
      </c>
      <c r="AA72" s="69">
        <f>IF(AD72=15,J72,0)</f>
        <v>0</v>
      </c>
      <c r="AB72" s="69">
        <f>IF(AD72=21,J72,0)</f>
        <v>37.88</v>
      </c>
      <c r="AD72" s="38">
        <v>21</v>
      </c>
      <c r="AE72" s="38">
        <f>G72*1</f>
        <v>9.47</v>
      </c>
      <c r="AF72" s="38">
        <f>G72*(1-1)</f>
        <v>0</v>
      </c>
      <c r="AG72" s="68" t="s">
        <v>122</v>
      </c>
      <c r="AM72" s="38">
        <f>F72*AE72</f>
        <v>37.88</v>
      </c>
      <c r="AN72" s="38">
        <f>F72*AF72</f>
        <v>0</v>
      </c>
      <c r="AO72" s="61" t="s">
        <v>316</v>
      </c>
      <c r="AP72" s="61" t="s">
        <v>328</v>
      </c>
      <c r="AQ72" s="57" t="s">
        <v>332</v>
      </c>
      <c r="AS72" s="38">
        <f>AM72+AN72</f>
        <v>37.88</v>
      </c>
      <c r="AT72" s="38">
        <f>G72/(100-AU72)*100</f>
        <v>9.47</v>
      </c>
      <c r="AU72" s="38">
        <v>0</v>
      </c>
      <c r="AV72" s="38">
        <f>L72</f>
        <v>0.00016</v>
      </c>
    </row>
    <row r="73" spans="4:6" ht="12.75">
      <c r="D73" s="66" t="s">
        <v>161</v>
      </c>
      <c r="F73" s="67">
        <v>4</v>
      </c>
    </row>
    <row r="74" spans="1:37" ht="12.75">
      <c r="A74" s="45"/>
      <c r="B74" s="50" t="s">
        <v>80</v>
      </c>
      <c r="C74" s="50" t="s">
        <v>136</v>
      </c>
      <c r="D74" s="50" t="s">
        <v>151</v>
      </c>
      <c r="E74" s="45" t="s">
        <v>77</v>
      </c>
      <c r="F74" s="45" t="s">
        <v>77</v>
      </c>
      <c r="G74" s="45" t="s">
        <v>77</v>
      </c>
      <c r="H74" s="64">
        <f>SUM(H75:H75)</f>
        <v>1930.5199999999995</v>
      </c>
      <c r="I74" s="64">
        <f>SUM(I75:I75)</f>
        <v>3866.8200000000006</v>
      </c>
      <c r="J74" s="64">
        <f>H74+I74</f>
        <v>5797.34</v>
      </c>
      <c r="K74" s="57"/>
      <c r="L74" s="64">
        <f>SUM(L75:L75)</f>
        <v>0.01394</v>
      </c>
      <c r="M74" s="57"/>
      <c r="Y74" s="57" t="s">
        <v>80</v>
      </c>
      <c r="AI74" s="64">
        <f>SUM(Z75:Z75)</f>
        <v>0</v>
      </c>
      <c r="AJ74" s="64">
        <f>SUM(AA75:AA75)</f>
        <v>0</v>
      </c>
      <c r="AK74" s="64">
        <f>SUM(AB75:AB75)</f>
        <v>5797.34</v>
      </c>
    </row>
    <row r="75" spans="1:48" ht="12.75">
      <c r="A75" s="46" t="s">
        <v>176</v>
      </c>
      <c r="B75" s="46" t="s">
        <v>80</v>
      </c>
      <c r="C75" s="46" t="s">
        <v>208</v>
      </c>
      <c r="D75" s="46" t="s">
        <v>268</v>
      </c>
      <c r="E75" s="46" t="s">
        <v>305</v>
      </c>
      <c r="F75" s="62">
        <v>34</v>
      </c>
      <c r="G75" s="62">
        <v>170.51</v>
      </c>
      <c r="H75" s="62">
        <f>F75*AE75</f>
        <v>1930.5199999999995</v>
      </c>
      <c r="I75" s="62">
        <f>J75-H75</f>
        <v>3866.8200000000006</v>
      </c>
      <c r="J75" s="62">
        <f>F75*G75</f>
        <v>5797.34</v>
      </c>
      <c r="K75" s="62">
        <v>0.00041</v>
      </c>
      <c r="L75" s="62">
        <f>F75*K75</f>
        <v>0.01394</v>
      </c>
      <c r="M75" s="60" t="s">
        <v>308</v>
      </c>
      <c r="P75" s="38">
        <f>IF(AG75="5",J75,0)</f>
        <v>0</v>
      </c>
      <c r="R75" s="38">
        <f>IF(AG75="1",H75,0)</f>
        <v>0</v>
      </c>
      <c r="S75" s="38">
        <f>IF(AG75="1",I75,0)</f>
        <v>0</v>
      </c>
      <c r="T75" s="38">
        <f>IF(AG75="7",H75,0)</f>
        <v>1930.5199999999995</v>
      </c>
      <c r="U75" s="38">
        <f>IF(AG75="7",I75,0)</f>
        <v>3866.8200000000006</v>
      </c>
      <c r="V75" s="38">
        <f>IF(AG75="2",H75,0)</f>
        <v>0</v>
      </c>
      <c r="W75" s="38">
        <f>IF(AG75="2",I75,0)</f>
        <v>0</v>
      </c>
      <c r="X75" s="38">
        <f>IF(AG75="0",J75,0)</f>
        <v>0</v>
      </c>
      <c r="Y75" s="57" t="s">
        <v>80</v>
      </c>
      <c r="Z75" s="62">
        <f>IF(AD75=0,J75,0)</f>
        <v>0</v>
      </c>
      <c r="AA75" s="62">
        <f>IF(AD75=15,J75,0)</f>
        <v>0</v>
      </c>
      <c r="AB75" s="62">
        <f>IF(AD75=21,J75,0)</f>
        <v>5797.34</v>
      </c>
      <c r="AD75" s="38">
        <v>21</v>
      </c>
      <c r="AE75" s="38">
        <f>G75*0.333000997008973</f>
        <v>56.77999999999999</v>
      </c>
      <c r="AF75" s="38">
        <f>G75*(1-0.333000997008973)</f>
        <v>113.73</v>
      </c>
      <c r="AG75" s="60" t="s">
        <v>122</v>
      </c>
      <c r="AM75" s="38">
        <f>F75*AE75</f>
        <v>1930.5199999999995</v>
      </c>
      <c r="AN75" s="38">
        <f>F75*AF75</f>
        <v>3866.82</v>
      </c>
      <c r="AO75" s="61" t="s">
        <v>317</v>
      </c>
      <c r="AP75" s="61" t="s">
        <v>328</v>
      </c>
      <c r="AQ75" s="57" t="s">
        <v>332</v>
      </c>
      <c r="AS75" s="38">
        <f>AM75+AN75</f>
        <v>5797.34</v>
      </c>
      <c r="AT75" s="38">
        <f>G75/(100-AU75)*100</f>
        <v>170.51</v>
      </c>
      <c r="AU75" s="38">
        <v>0</v>
      </c>
      <c r="AV75" s="38">
        <f>L75</f>
        <v>0.01394</v>
      </c>
    </row>
    <row r="76" spans="4:6" ht="12.75">
      <c r="D76" s="66" t="s">
        <v>269</v>
      </c>
      <c r="F76" s="67">
        <v>34</v>
      </c>
    </row>
    <row r="77" spans="1:37" ht="12.75">
      <c r="A77" s="45"/>
      <c r="B77" s="50" t="s">
        <v>80</v>
      </c>
      <c r="C77" s="50" t="s">
        <v>137</v>
      </c>
      <c r="D77" s="50" t="s">
        <v>152</v>
      </c>
      <c r="E77" s="45" t="s">
        <v>77</v>
      </c>
      <c r="F77" s="45" t="s">
        <v>77</v>
      </c>
      <c r="G77" s="45" t="s">
        <v>77</v>
      </c>
      <c r="H77" s="64">
        <f>SUM(H78:H84)</f>
        <v>16192.52</v>
      </c>
      <c r="I77" s="64">
        <f>SUM(I78:I84)</f>
        <v>6071.2</v>
      </c>
      <c r="J77" s="64">
        <f>H77+I77</f>
        <v>22263.72</v>
      </c>
      <c r="K77" s="57"/>
      <c r="L77" s="64">
        <f>SUM(L78:L84)</f>
        <v>0.0762</v>
      </c>
      <c r="M77" s="57"/>
      <c r="Y77" s="57" t="s">
        <v>80</v>
      </c>
      <c r="AI77" s="64">
        <f>SUM(Z78:Z84)</f>
        <v>0</v>
      </c>
      <c r="AJ77" s="64">
        <f>SUM(AA78:AA84)</f>
        <v>0</v>
      </c>
      <c r="AK77" s="64">
        <f>SUM(AB78:AB84)</f>
        <v>22263.72</v>
      </c>
    </row>
    <row r="78" spans="1:48" ht="12.75">
      <c r="A78" s="46" t="s">
        <v>177</v>
      </c>
      <c r="B78" s="46" t="s">
        <v>80</v>
      </c>
      <c r="C78" s="46" t="s">
        <v>209</v>
      </c>
      <c r="D78" s="46" t="s">
        <v>270</v>
      </c>
      <c r="E78" s="46" t="s">
        <v>304</v>
      </c>
      <c r="F78" s="62">
        <v>20</v>
      </c>
      <c r="G78" s="62">
        <v>250</v>
      </c>
      <c r="H78" s="62">
        <f>F78*AE78</f>
        <v>126.8</v>
      </c>
      <c r="I78" s="62">
        <f>J78-H78</f>
        <v>4873.2</v>
      </c>
      <c r="J78" s="62">
        <f>F78*G78</f>
        <v>5000</v>
      </c>
      <c r="K78" s="62">
        <v>1E-05</v>
      </c>
      <c r="L78" s="62">
        <f>F78*K78</f>
        <v>0.0002</v>
      </c>
      <c r="M78" s="60" t="s">
        <v>308</v>
      </c>
      <c r="P78" s="38">
        <f>IF(AG78="5",J78,0)</f>
        <v>0</v>
      </c>
      <c r="R78" s="38">
        <f>IF(AG78="1",H78,0)</f>
        <v>0</v>
      </c>
      <c r="S78" s="38">
        <f>IF(AG78="1",I78,0)</f>
        <v>0</v>
      </c>
      <c r="T78" s="38">
        <f>IF(AG78="7",H78,0)</f>
        <v>126.8</v>
      </c>
      <c r="U78" s="38">
        <f>IF(AG78="7",I78,0)</f>
        <v>4873.2</v>
      </c>
      <c r="V78" s="38">
        <f>IF(AG78="2",H78,0)</f>
        <v>0</v>
      </c>
      <c r="W78" s="38">
        <f>IF(AG78="2",I78,0)</f>
        <v>0</v>
      </c>
      <c r="X78" s="38">
        <f>IF(AG78="0",J78,0)</f>
        <v>0</v>
      </c>
      <c r="Y78" s="57" t="s">
        <v>80</v>
      </c>
      <c r="Z78" s="62">
        <f>IF(AD78=0,J78,0)</f>
        <v>0</v>
      </c>
      <c r="AA78" s="62">
        <f>IF(AD78=15,J78,0)</f>
        <v>0</v>
      </c>
      <c r="AB78" s="62">
        <f>IF(AD78=21,J78,0)</f>
        <v>5000</v>
      </c>
      <c r="AD78" s="38">
        <v>21</v>
      </c>
      <c r="AE78" s="38">
        <f>G78*0.02536</f>
        <v>6.34</v>
      </c>
      <c r="AF78" s="38">
        <f>G78*(1-0.02536)</f>
        <v>243.66</v>
      </c>
      <c r="AG78" s="60" t="s">
        <v>122</v>
      </c>
      <c r="AM78" s="38">
        <f>F78*AE78</f>
        <v>126.8</v>
      </c>
      <c r="AN78" s="38">
        <f>F78*AF78</f>
        <v>4873.2</v>
      </c>
      <c r="AO78" s="61" t="s">
        <v>318</v>
      </c>
      <c r="AP78" s="61" t="s">
        <v>329</v>
      </c>
      <c r="AQ78" s="57" t="s">
        <v>332</v>
      </c>
      <c r="AS78" s="38">
        <f>AM78+AN78</f>
        <v>5000</v>
      </c>
      <c r="AT78" s="38">
        <f>G78/(100-AU78)*100</f>
        <v>250</v>
      </c>
      <c r="AU78" s="38">
        <v>0</v>
      </c>
      <c r="AV78" s="38">
        <f>L78</f>
        <v>0.0002</v>
      </c>
    </row>
    <row r="79" spans="4:6" ht="12.75">
      <c r="D79" s="66" t="s">
        <v>271</v>
      </c>
      <c r="F79" s="67">
        <v>20</v>
      </c>
    </row>
    <row r="80" spans="1:48" ht="12.75">
      <c r="A80" s="65" t="s">
        <v>178</v>
      </c>
      <c r="B80" s="65" t="s">
        <v>80</v>
      </c>
      <c r="C80" s="65" t="s">
        <v>210</v>
      </c>
      <c r="D80" s="65" t="s">
        <v>272</v>
      </c>
      <c r="E80" s="65" t="s">
        <v>304</v>
      </c>
      <c r="F80" s="69">
        <v>20</v>
      </c>
      <c r="G80" s="69">
        <v>450</v>
      </c>
      <c r="H80" s="69">
        <f>F80*AE80</f>
        <v>9000</v>
      </c>
      <c r="I80" s="69">
        <f>J80-H80</f>
        <v>0</v>
      </c>
      <c r="J80" s="69">
        <f>F80*G80</f>
        <v>9000</v>
      </c>
      <c r="K80" s="69">
        <v>0.0003</v>
      </c>
      <c r="L80" s="69">
        <f>F80*K80</f>
        <v>0.005999999999999999</v>
      </c>
      <c r="M80" s="68" t="s">
        <v>308</v>
      </c>
      <c r="P80" s="38">
        <f>IF(AG80="5",J80,0)</f>
        <v>0</v>
      </c>
      <c r="R80" s="38">
        <f>IF(AG80="1",H80,0)</f>
        <v>0</v>
      </c>
      <c r="S80" s="38">
        <f>IF(AG80="1",I80,0)</f>
        <v>0</v>
      </c>
      <c r="T80" s="38">
        <f>IF(AG80="7",H80,0)</f>
        <v>9000</v>
      </c>
      <c r="U80" s="38">
        <f>IF(AG80="7",I80,0)</f>
        <v>0</v>
      </c>
      <c r="V80" s="38">
        <f>IF(AG80="2",H80,0)</f>
        <v>0</v>
      </c>
      <c r="W80" s="38">
        <f>IF(AG80="2",I80,0)</f>
        <v>0</v>
      </c>
      <c r="X80" s="38">
        <f>IF(AG80="0",J80,0)</f>
        <v>0</v>
      </c>
      <c r="Y80" s="57" t="s">
        <v>80</v>
      </c>
      <c r="Z80" s="69">
        <f>IF(AD80=0,J80,0)</f>
        <v>0</v>
      </c>
      <c r="AA80" s="69">
        <f>IF(AD80=15,J80,0)</f>
        <v>0</v>
      </c>
      <c r="AB80" s="69">
        <f>IF(AD80=21,J80,0)</f>
        <v>9000</v>
      </c>
      <c r="AD80" s="38">
        <v>21</v>
      </c>
      <c r="AE80" s="38">
        <f>G80*1</f>
        <v>450</v>
      </c>
      <c r="AF80" s="38">
        <f>G80*(1-1)</f>
        <v>0</v>
      </c>
      <c r="AG80" s="68" t="s">
        <v>122</v>
      </c>
      <c r="AM80" s="38">
        <f>F80*AE80</f>
        <v>9000</v>
      </c>
      <c r="AN80" s="38">
        <f>F80*AF80</f>
        <v>0</v>
      </c>
      <c r="AO80" s="61" t="s">
        <v>318</v>
      </c>
      <c r="AP80" s="61" t="s">
        <v>329</v>
      </c>
      <c r="AQ80" s="57" t="s">
        <v>332</v>
      </c>
      <c r="AS80" s="38">
        <f>AM80+AN80</f>
        <v>9000</v>
      </c>
      <c r="AT80" s="38">
        <f>G80/(100-AU80)*100</f>
        <v>450</v>
      </c>
      <c r="AU80" s="38">
        <v>0</v>
      </c>
      <c r="AV80" s="38">
        <f>L80</f>
        <v>0.005999999999999999</v>
      </c>
    </row>
    <row r="81" spans="4:6" ht="12.75">
      <c r="D81" s="66" t="s">
        <v>174</v>
      </c>
      <c r="F81" s="67">
        <v>20</v>
      </c>
    </row>
    <row r="82" spans="1:48" ht="12.75">
      <c r="A82" s="46" t="s">
        <v>179</v>
      </c>
      <c r="B82" s="46" t="s">
        <v>80</v>
      </c>
      <c r="C82" s="46" t="s">
        <v>211</v>
      </c>
      <c r="D82" s="46" t="s">
        <v>273</v>
      </c>
      <c r="E82" s="46" t="s">
        <v>304</v>
      </c>
      <c r="F82" s="62">
        <v>2</v>
      </c>
      <c r="G82" s="62">
        <v>599</v>
      </c>
      <c r="H82" s="62">
        <f>F82*AE82</f>
        <v>0</v>
      </c>
      <c r="I82" s="62">
        <f>J82-H82</f>
        <v>1198</v>
      </c>
      <c r="J82" s="62">
        <f>F82*G82</f>
        <v>1198</v>
      </c>
      <c r="K82" s="62">
        <v>0</v>
      </c>
      <c r="L82" s="62">
        <f>F82*K82</f>
        <v>0</v>
      </c>
      <c r="M82" s="60" t="s">
        <v>308</v>
      </c>
      <c r="P82" s="38">
        <f>IF(AG82="5",J82,0)</f>
        <v>0</v>
      </c>
      <c r="R82" s="38">
        <f>IF(AG82="1",H82,0)</f>
        <v>0</v>
      </c>
      <c r="S82" s="38">
        <f>IF(AG82="1",I82,0)</f>
        <v>0</v>
      </c>
      <c r="T82" s="38">
        <f>IF(AG82="7",H82,0)</f>
        <v>0</v>
      </c>
      <c r="U82" s="38">
        <f>IF(AG82="7",I82,0)</f>
        <v>1198</v>
      </c>
      <c r="V82" s="38">
        <f>IF(AG82="2",H82,0)</f>
        <v>0</v>
      </c>
      <c r="W82" s="38">
        <f>IF(AG82="2",I82,0)</f>
        <v>0</v>
      </c>
      <c r="X82" s="38">
        <f>IF(AG82="0",J82,0)</f>
        <v>0</v>
      </c>
      <c r="Y82" s="57" t="s">
        <v>80</v>
      </c>
      <c r="Z82" s="62">
        <f>IF(AD82=0,J82,0)</f>
        <v>0</v>
      </c>
      <c r="AA82" s="62">
        <f>IF(AD82=15,J82,0)</f>
        <v>0</v>
      </c>
      <c r="AB82" s="62">
        <f>IF(AD82=21,J82,0)</f>
        <v>1198</v>
      </c>
      <c r="AD82" s="38">
        <v>21</v>
      </c>
      <c r="AE82" s="38">
        <f>G82*0</f>
        <v>0</v>
      </c>
      <c r="AF82" s="38">
        <f>G82*(1-0)</f>
        <v>599</v>
      </c>
      <c r="AG82" s="60" t="s">
        <v>122</v>
      </c>
      <c r="AM82" s="38">
        <f>F82*AE82</f>
        <v>0</v>
      </c>
      <c r="AN82" s="38">
        <f>F82*AF82</f>
        <v>1198</v>
      </c>
      <c r="AO82" s="61" t="s">
        <v>318</v>
      </c>
      <c r="AP82" s="61" t="s">
        <v>329</v>
      </c>
      <c r="AQ82" s="57" t="s">
        <v>332</v>
      </c>
      <c r="AS82" s="38">
        <f>AM82+AN82</f>
        <v>1198</v>
      </c>
      <c r="AT82" s="38">
        <f>G82/(100-AU82)*100</f>
        <v>599</v>
      </c>
      <c r="AU82" s="38">
        <v>0</v>
      </c>
      <c r="AV82" s="38">
        <f>L82</f>
        <v>0</v>
      </c>
    </row>
    <row r="83" spans="4:6" ht="12.75">
      <c r="D83" s="66" t="s">
        <v>159</v>
      </c>
      <c r="F83" s="67">
        <v>2</v>
      </c>
    </row>
    <row r="84" spans="1:48" ht="12.75">
      <c r="A84" s="65" t="s">
        <v>180</v>
      </c>
      <c r="B84" s="65" t="s">
        <v>80</v>
      </c>
      <c r="C84" s="65" t="s">
        <v>212</v>
      </c>
      <c r="D84" s="65" t="s">
        <v>274</v>
      </c>
      <c r="E84" s="65" t="s">
        <v>304</v>
      </c>
      <c r="F84" s="69">
        <v>2</v>
      </c>
      <c r="G84" s="69">
        <v>3532.86</v>
      </c>
      <c r="H84" s="69">
        <f>F84*AE84</f>
        <v>7065.72</v>
      </c>
      <c r="I84" s="69">
        <f>J84-H84</f>
        <v>0</v>
      </c>
      <c r="J84" s="69">
        <f>F84*G84</f>
        <v>7065.72</v>
      </c>
      <c r="K84" s="69">
        <v>0.035</v>
      </c>
      <c r="L84" s="69">
        <f>F84*K84</f>
        <v>0.07</v>
      </c>
      <c r="M84" s="68" t="s">
        <v>308</v>
      </c>
      <c r="P84" s="38">
        <f>IF(AG84="5",J84,0)</f>
        <v>0</v>
      </c>
      <c r="R84" s="38">
        <f>IF(AG84="1",H84,0)</f>
        <v>0</v>
      </c>
      <c r="S84" s="38">
        <f>IF(AG84="1",I84,0)</f>
        <v>0</v>
      </c>
      <c r="T84" s="38">
        <f>IF(AG84="7",H84,0)</f>
        <v>7065.72</v>
      </c>
      <c r="U84" s="38">
        <f>IF(AG84="7",I84,0)</f>
        <v>0</v>
      </c>
      <c r="V84" s="38">
        <f>IF(AG84="2",H84,0)</f>
        <v>0</v>
      </c>
      <c r="W84" s="38">
        <f>IF(AG84="2",I84,0)</f>
        <v>0</v>
      </c>
      <c r="X84" s="38">
        <f>IF(AG84="0",J84,0)</f>
        <v>0</v>
      </c>
      <c r="Y84" s="57" t="s">
        <v>80</v>
      </c>
      <c r="Z84" s="69">
        <f>IF(AD84=0,J84,0)</f>
        <v>0</v>
      </c>
      <c r="AA84" s="69">
        <f>IF(AD84=15,J84,0)</f>
        <v>0</v>
      </c>
      <c r="AB84" s="69">
        <f>IF(AD84=21,J84,0)</f>
        <v>7065.72</v>
      </c>
      <c r="AD84" s="38">
        <v>21</v>
      </c>
      <c r="AE84" s="38">
        <f>G84*1</f>
        <v>3532.86</v>
      </c>
      <c r="AF84" s="38">
        <f>G84*(1-1)</f>
        <v>0</v>
      </c>
      <c r="AG84" s="68" t="s">
        <v>122</v>
      </c>
      <c r="AM84" s="38">
        <f>F84*AE84</f>
        <v>7065.72</v>
      </c>
      <c r="AN84" s="38">
        <f>F84*AF84</f>
        <v>0</v>
      </c>
      <c r="AO84" s="61" t="s">
        <v>318</v>
      </c>
      <c r="AP84" s="61" t="s">
        <v>329</v>
      </c>
      <c r="AQ84" s="57" t="s">
        <v>332</v>
      </c>
      <c r="AS84" s="38">
        <f>AM84+AN84</f>
        <v>7065.72</v>
      </c>
      <c r="AT84" s="38">
        <f>G84/(100-AU84)*100</f>
        <v>3532.86</v>
      </c>
      <c r="AU84" s="38">
        <v>0</v>
      </c>
      <c r="AV84" s="38">
        <f>L84</f>
        <v>0.07</v>
      </c>
    </row>
    <row r="85" spans="4:6" ht="12.75">
      <c r="D85" s="66" t="s">
        <v>159</v>
      </c>
      <c r="F85" s="67">
        <v>2</v>
      </c>
    </row>
    <row r="86" spans="1:37" ht="12.75">
      <c r="A86" s="45"/>
      <c r="B86" s="50" t="s">
        <v>80</v>
      </c>
      <c r="C86" s="50" t="s">
        <v>138</v>
      </c>
      <c r="D86" s="50" t="s">
        <v>153</v>
      </c>
      <c r="E86" s="45" t="s">
        <v>77</v>
      </c>
      <c r="F86" s="45" t="s">
        <v>77</v>
      </c>
      <c r="G86" s="45" t="s">
        <v>77</v>
      </c>
      <c r="H86" s="64">
        <f>SUM(H87:H99)</f>
        <v>51783.94584</v>
      </c>
      <c r="I86" s="64">
        <f>SUM(I87:I99)</f>
        <v>13928.760000000006</v>
      </c>
      <c r="J86" s="64">
        <f>H86+I86</f>
        <v>65712.70584000001</v>
      </c>
      <c r="K86" s="57"/>
      <c r="L86" s="64">
        <f>SUM(L87:L99)</f>
        <v>1.8072</v>
      </c>
      <c r="M86" s="57"/>
      <c r="Y86" s="57" t="s">
        <v>80</v>
      </c>
      <c r="AI86" s="64">
        <f>SUM(Z87:Z99)</f>
        <v>0</v>
      </c>
      <c r="AJ86" s="64">
        <f>SUM(AA87:AA99)</f>
        <v>0</v>
      </c>
      <c r="AK86" s="64">
        <f>SUM(AB87:AB99)</f>
        <v>65712.70584000001</v>
      </c>
    </row>
    <row r="87" spans="1:48" ht="12.75">
      <c r="A87" s="46" t="s">
        <v>130</v>
      </c>
      <c r="B87" s="46" t="s">
        <v>80</v>
      </c>
      <c r="C87" s="46" t="s">
        <v>213</v>
      </c>
      <c r="D87" s="46" t="s">
        <v>275</v>
      </c>
      <c r="E87" s="46" t="s">
        <v>306</v>
      </c>
      <c r="F87" s="62">
        <v>748</v>
      </c>
      <c r="G87" s="62">
        <v>23.67</v>
      </c>
      <c r="H87" s="62">
        <f>F87*AE87</f>
        <v>4637.599999999994</v>
      </c>
      <c r="I87" s="62">
        <f>J87-H87</f>
        <v>13067.560000000005</v>
      </c>
      <c r="J87" s="62">
        <f>F87*G87</f>
        <v>17705.16</v>
      </c>
      <c r="K87" s="62">
        <v>5E-05</v>
      </c>
      <c r="L87" s="62">
        <f>F87*K87</f>
        <v>0.0374</v>
      </c>
      <c r="M87" s="60" t="s">
        <v>308</v>
      </c>
      <c r="P87" s="38">
        <f>IF(AG87="5",J87,0)</f>
        <v>0</v>
      </c>
      <c r="R87" s="38">
        <f>IF(AG87="1",H87,0)</f>
        <v>0</v>
      </c>
      <c r="S87" s="38">
        <f>IF(AG87="1",I87,0)</f>
        <v>0</v>
      </c>
      <c r="T87" s="38">
        <f>IF(AG87="7",H87,0)</f>
        <v>4637.599999999994</v>
      </c>
      <c r="U87" s="38">
        <f>IF(AG87="7",I87,0)</f>
        <v>13067.560000000005</v>
      </c>
      <c r="V87" s="38">
        <f>IF(AG87="2",H87,0)</f>
        <v>0</v>
      </c>
      <c r="W87" s="38">
        <f>IF(AG87="2",I87,0)</f>
        <v>0</v>
      </c>
      <c r="X87" s="38">
        <f>IF(AG87="0",J87,0)</f>
        <v>0</v>
      </c>
      <c r="Y87" s="57" t="s">
        <v>80</v>
      </c>
      <c r="Z87" s="62">
        <f>IF(AD87=0,J87,0)</f>
        <v>0</v>
      </c>
      <c r="AA87" s="62">
        <f>IF(AD87=15,J87,0)</f>
        <v>0</v>
      </c>
      <c r="AB87" s="62">
        <f>IF(AD87=21,J87,0)</f>
        <v>17705.16</v>
      </c>
      <c r="AD87" s="38">
        <v>21</v>
      </c>
      <c r="AE87" s="38">
        <f>G87*0.261934938741022</f>
        <v>6.199999999999992</v>
      </c>
      <c r="AF87" s="38">
        <f>G87*(1-0.261934938741022)</f>
        <v>17.47000000000001</v>
      </c>
      <c r="AG87" s="60" t="s">
        <v>122</v>
      </c>
      <c r="AM87" s="38">
        <f>F87*AE87</f>
        <v>4637.599999999994</v>
      </c>
      <c r="AN87" s="38">
        <f>F87*AF87</f>
        <v>13067.560000000007</v>
      </c>
      <c r="AO87" s="61" t="s">
        <v>319</v>
      </c>
      <c r="AP87" s="61" t="s">
        <v>329</v>
      </c>
      <c r="AQ87" s="57" t="s">
        <v>332</v>
      </c>
      <c r="AS87" s="38">
        <f>AM87+AN87</f>
        <v>17705.16</v>
      </c>
      <c r="AT87" s="38">
        <f>G87/(100-AU87)*100</f>
        <v>23.67</v>
      </c>
      <c r="AU87" s="38">
        <v>0</v>
      </c>
      <c r="AV87" s="38">
        <f>L87</f>
        <v>0.0374</v>
      </c>
    </row>
    <row r="88" spans="4:6" ht="12.75">
      <c r="D88" s="66" t="s">
        <v>276</v>
      </c>
      <c r="F88" s="67">
        <v>476</v>
      </c>
    </row>
    <row r="89" spans="4:6" ht="12.75">
      <c r="D89" s="66" t="s">
        <v>277</v>
      </c>
      <c r="F89" s="67">
        <v>272</v>
      </c>
    </row>
    <row r="90" spans="1:48" ht="12.75">
      <c r="A90" s="65" t="s">
        <v>181</v>
      </c>
      <c r="B90" s="65" t="s">
        <v>80</v>
      </c>
      <c r="C90" s="65" t="s">
        <v>214</v>
      </c>
      <c r="D90" s="65" t="s">
        <v>278</v>
      </c>
      <c r="E90" s="65" t="s">
        <v>307</v>
      </c>
      <c r="F90" s="69">
        <v>0.76</v>
      </c>
      <c r="G90" s="69">
        <v>20574.834</v>
      </c>
      <c r="H90" s="69">
        <f>F90*AE90</f>
        <v>15636.87384</v>
      </c>
      <c r="I90" s="69">
        <f>J90-H90</f>
        <v>0</v>
      </c>
      <c r="J90" s="69">
        <f>F90*G90</f>
        <v>15636.87384</v>
      </c>
      <c r="K90" s="69">
        <v>1</v>
      </c>
      <c r="L90" s="69">
        <f>F90*K90</f>
        <v>0.76</v>
      </c>
      <c r="M90" s="68" t="s">
        <v>308</v>
      </c>
      <c r="P90" s="38">
        <f>IF(AG90="5",J90,0)</f>
        <v>0</v>
      </c>
      <c r="R90" s="38">
        <f>IF(AG90="1",H90,0)</f>
        <v>0</v>
      </c>
      <c r="S90" s="38">
        <f>IF(AG90="1",I90,0)</f>
        <v>0</v>
      </c>
      <c r="T90" s="38">
        <f>IF(AG90="7",H90,0)</f>
        <v>15636.87384</v>
      </c>
      <c r="U90" s="38">
        <f>IF(AG90="7",I90,0)</f>
        <v>0</v>
      </c>
      <c r="V90" s="38">
        <f>IF(AG90="2",H90,0)</f>
        <v>0</v>
      </c>
      <c r="W90" s="38">
        <f>IF(AG90="2",I90,0)</f>
        <v>0</v>
      </c>
      <c r="X90" s="38">
        <f>IF(AG90="0",J90,0)</f>
        <v>0</v>
      </c>
      <c r="Y90" s="57" t="s">
        <v>80</v>
      </c>
      <c r="Z90" s="69">
        <f>IF(AD90=0,J90,0)</f>
        <v>0</v>
      </c>
      <c r="AA90" s="69">
        <f>IF(AD90=15,J90,0)</f>
        <v>0</v>
      </c>
      <c r="AB90" s="69">
        <f>IF(AD90=21,J90,0)</f>
        <v>15636.87384</v>
      </c>
      <c r="AD90" s="38">
        <v>21</v>
      </c>
      <c r="AE90" s="38">
        <f>G90*1</f>
        <v>20574.834</v>
      </c>
      <c r="AF90" s="38">
        <f>G90*(1-1)</f>
        <v>0</v>
      </c>
      <c r="AG90" s="68" t="s">
        <v>122</v>
      </c>
      <c r="AM90" s="38">
        <f>F90*AE90</f>
        <v>15636.87384</v>
      </c>
      <c r="AN90" s="38">
        <f>F90*AF90</f>
        <v>0</v>
      </c>
      <c r="AO90" s="61" t="s">
        <v>319</v>
      </c>
      <c r="AP90" s="61" t="s">
        <v>329</v>
      </c>
      <c r="AQ90" s="57" t="s">
        <v>332</v>
      </c>
      <c r="AS90" s="38">
        <f>AM90+AN90</f>
        <v>15636.87384</v>
      </c>
      <c r="AT90" s="38">
        <f>G90/(100-AU90)*100</f>
        <v>20574.834</v>
      </c>
      <c r="AU90" s="38">
        <v>0</v>
      </c>
      <c r="AV90" s="38">
        <f>L90</f>
        <v>0.76</v>
      </c>
    </row>
    <row r="91" spans="4:6" ht="12.75">
      <c r="D91" s="66" t="s">
        <v>279</v>
      </c>
      <c r="F91" s="67">
        <v>0.76</v>
      </c>
    </row>
    <row r="92" spans="1:48" ht="12.75">
      <c r="A92" s="46" t="s">
        <v>182</v>
      </c>
      <c r="B92" s="46" t="s">
        <v>80</v>
      </c>
      <c r="C92" s="46" t="s">
        <v>215</v>
      </c>
      <c r="D92" s="46" t="s">
        <v>280</v>
      </c>
      <c r="E92" s="46" t="s">
        <v>303</v>
      </c>
      <c r="F92" s="62">
        <v>21.53</v>
      </c>
      <c r="G92" s="62">
        <v>40</v>
      </c>
      <c r="H92" s="62">
        <f>F92*AE92</f>
        <v>0</v>
      </c>
      <c r="I92" s="62">
        <f>J92-H92</f>
        <v>861.2</v>
      </c>
      <c r="J92" s="62">
        <f>F92*G92</f>
        <v>861.2</v>
      </c>
      <c r="K92" s="62">
        <v>0</v>
      </c>
      <c r="L92" s="62">
        <f>F92*K92</f>
        <v>0</v>
      </c>
      <c r="M92" s="60" t="s">
        <v>308</v>
      </c>
      <c r="P92" s="38">
        <f>IF(AG92="5",J92,0)</f>
        <v>0</v>
      </c>
      <c r="R92" s="38">
        <f>IF(AG92="1",H92,0)</f>
        <v>0</v>
      </c>
      <c r="S92" s="38">
        <f>IF(AG92="1",I92,0)</f>
        <v>0</v>
      </c>
      <c r="T92" s="38">
        <f>IF(AG92="7",H92,0)</f>
        <v>0</v>
      </c>
      <c r="U92" s="38">
        <f>IF(AG92="7",I92,0)</f>
        <v>861.2</v>
      </c>
      <c r="V92" s="38">
        <f>IF(AG92="2",H92,0)</f>
        <v>0</v>
      </c>
      <c r="W92" s="38">
        <f>IF(AG92="2",I92,0)</f>
        <v>0</v>
      </c>
      <c r="X92" s="38">
        <f>IF(AG92="0",J92,0)</f>
        <v>0</v>
      </c>
      <c r="Y92" s="57" t="s">
        <v>80</v>
      </c>
      <c r="Z92" s="62">
        <f>IF(AD92=0,J92,0)</f>
        <v>0</v>
      </c>
      <c r="AA92" s="62">
        <f>IF(AD92=15,J92,0)</f>
        <v>0</v>
      </c>
      <c r="AB92" s="62">
        <f>IF(AD92=21,J92,0)</f>
        <v>861.2</v>
      </c>
      <c r="AD92" s="38">
        <v>21</v>
      </c>
      <c r="AE92" s="38">
        <f>G92*0</f>
        <v>0</v>
      </c>
      <c r="AF92" s="38">
        <f>G92*(1-0)</f>
        <v>40</v>
      </c>
      <c r="AG92" s="60" t="s">
        <v>122</v>
      </c>
      <c r="AM92" s="38">
        <f>F92*AE92</f>
        <v>0</v>
      </c>
      <c r="AN92" s="38">
        <f>F92*AF92</f>
        <v>861.2</v>
      </c>
      <c r="AO92" s="61" t="s">
        <v>319</v>
      </c>
      <c r="AP92" s="61" t="s">
        <v>329</v>
      </c>
      <c r="AQ92" s="57" t="s">
        <v>332</v>
      </c>
      <c r="AS92" s="38">
        <f>AM92+AN92</f>
        <v>861.2</v>
      </c>
      <c r="AT92" s="38">
        <f>G92/(100-AU92)*100</f>
        <v>40</v>
      </c>
      <c r="AU92" s="38">
        <v>0</v>
      </c>
      <c r="AV92" s="38">
        <f>L92</f>
        <v>0</v>
      </c>
    </row>
    <row r="93" spans="4:6" ht="12.75">
      <c r="D93" s="66" t="s">
        <v>281</v>
      </c>
      <c r="F93" s="67">
        <v>15.38</v>
      </c>
    </row>
    <row r="94" spans="4:6" ht="12.75">
      <c r="D94" s="66" t="s">
        <v>282</v>
      </c>
      <c r="F94" s="67">
        <v>6.15</v>
      </c>
    </row>
    <row r="95" spans="1:48" ht="12.75">
      <c r="A95" s="65" t="s">
        <v>183</v>
      </c>
      <c r="B95" s="65" t="s">
        <v>80</v>
      </c>
      <c r="C95" s="65" t="s">
        <v>216</v>
      </c>
      <c r="D95" s="65" t="s">
        <v>283</v>
      </c>
      <c r="E95" s="65" t="s">
        <v>303</v>
      </c>
      <c r="F95" s="69">
        <v>21</v>
      </c>
      <c r="G95" s="69">
        <v>890.8</v>
      </c>
      <c r="H95" s="69">
        <f>F95*AE95</f>
        <v>18706.8</v>
      </c>
      <c r="I95" s="69">
        <f>J95-H95</f>
        <v>0</v>
      </c>
      <c r="J95" s="69">
        <f>F95*G95</f>
        <v>18706.8</v>
      </c>
      <c r="K95" s="69">
        <v>0.04</v>
      </c>
      <c r="L95" s="69">
        <f>F95*K95</f>
        <v>0.84</v>
      </c>
      <c r="M95" s="68" t="s">
        <v>308</v>
      </c>
      <c r="P95" s="38">
        <f>IF(AG95="5",J95,0)</f>
        <v>0</v>
      </c>
      <c r="R95" s="38">
        <f>IF(AG95="1",H95,0)</f>
        <v>0</v>
      </c>
      <c r="S95" s="38">
        <f>IF(AG95="1",I95,0)</f>
        <v>0</v>
      </c>
      <c r="T95" s="38">
        <f>IF(AG95="7",H95,0)</f>
        <v>18706.8</v>
      </c>
      <c r="U95" s="38">
        <f>IF(AG95="7",I95,0)</f>
        <v>0</v>
      </c>
      <c r="V95" s="38">
        <f>IF(AG95="2",H95,0)</f>
        <v>0</v>
      </c>
      <c r="W95" s="38">
        <f>IF(AG95="2",I95,0)</f>
        <v>0</v>
      </c>
      <c r="X95" s="38">
        <f>IF(AG95="0",J95,0)</f>
        <v>0</v>
      </c>
      <c r="Y95" s="57" t="s">
        <v>80</v>
      </c>
      <c r="Z95" s="69">
        <f>IF(AD95=0,J95,0)</f>
        <v>0</v>
      </c>
      <c r="AA95" s="69">
        <f>IF(AD95=15,J95,0)</f>
        <v>0</v>
      </c>
      <c r="AB95" s="69">
        <f>IF(AD95=21,J95,0)</f>
        <v>18706.8</v>
      </c>
      <c r="AD95" s="38">
        <v>21</v>
      </c>
      <c r="AE95" s="38">
        <f>G95*1</f>
        <v>890.8</v>
      </c>
      <c r="AF95" s="38">
        <f>G95*(1-1)</f>
        <v>0</v>
      </c>
      <c r="AG95" s="68" t="s">
        <v>122</v>
      </c>
      <c r="AM95" s="38">
        <f>F95*AE95</f>
        <v>18706.8</v>
      </c>
      <c r="AN95" s="38">
        <f>F95*AF95</f>
        <v>0</v>
      </c>
      <c r="AO95" s="61" t="s">
        <v>319</v>
      </c>
      <c r="AP95" s="61" t="s">
        <v>329</v>
      </c>
      <c r="AQ95" s="57" t="s">
        <v>332</v>
      </c>
      <c r="AS95" s="38">
        <f>AM95+AN95</f>
        <v>18706.8</v>
      </c>
      <c r="AT95" s="38">
        <f>G95/(100-AU95)*100</f>
        <v>890.8</v>
      </c>
      <c r="AU95" s="38">
        <v>0</v>
      </c>
      <c r="AV95" s="38">
        <f>L95</f>
        <v>0.84</v>
      </c>
    </row>
    <row r="96" spans="4:6" ht="12.75">
      <c r="D96" s="66" t="s">
        <v>284</v>
      </c>
      <c r="F96" s="67">
        <v>21</v>
      </c>
    </row>
    <row r="97" spans="1:48" ht="12.75">
      <c r="A97" s="65" t="s">
        <v>131</v>
      </c>
      <c r="B97" s="65" t="s">
        <v>80</v>
      </c>
      <c r="C97" s="65" t="s">
        <v>217</v>
      </c>
      <c r="D97" s="65" t="s">
        <v>285</v>
      </c>
      <c r="E97" s="65" t="s">
        <v>304</v>
      </c>
      <c r="F97" s="69">
        <v>7</v>
      </c>
      <c r="G97" s="69">
        <v>504.48</v>
      </c>
      <c r="H97" s="69">
        <f>F97*AE97</f>
        <v>3531.36</v>
      </c>
      <c r="I97" s="69">
        <f>J97-H97</f>
        <v>0</v>
      </c>
      <c r="J97" s="69">
        <f>F97*G97</f>
        <v>3531.36</v>
      </c>
      <c r="K97" s="69">
        <v>0.001</v>
      </c>
      <c r="L97" s="69">
        <f>F97*K97</f>
        <v>0.007</v>
      </c>
      <c r="M97" s="68" t="s">
        <v>308</v>
      </c>
      <c r="P97" s="38">
        <f>IF(AG97="5",J97,0)</f>
        <v>0</v>
      </c>
      <c r="R97" s="38">
        <f>IF(AG97="1",H97,0)</f>
        <v>0</v>
      </c>
      <c r="S97" s="38">
        <f>IF(AG97="1",I97,0)</f>
        <v>0</v>
      </c>
      <c r="T97" s="38">
        <f>IF(AG97="7",H97,0)</f>
        <v>3531.36</v>
      </c>
      <c r="U97" s="38">
        <f>IF(AG97="7",I97,0)</f>
        <v>0</v>
      </c>
      <c r="V97" s="38">
        <f>IF(AG97="2",H97,0)</f>
        <v>0</v>
      </c>
      <c r="W97" s="38">
        <f>IF(AG97="2",I97,0)</f>
        <v>0</v>
      </c>
      <c r="X97" s="38">
        <f>IF(AG97="0",J97,0)</f>
        <v>0</v>
      </c>
      <c r="Y97" s="57" t="s">
        <v>80</v>
      </c>
      <c r="Z97" s="69">
        <f>IF(AD97=0,J97,0)</f>
        <v>0</v>
      </c>
      <c r="AA97" s="69">
        <f>IF(AD97=15,J97,0)</f>
        <v>0</v>
      </c>
      <c r="AB97" s="69">
        <f>IF(AD97=21,J97,0)</f>
        <v>3531.36</v>
      </c>
      <c r="AD97" s="38">
        <v>21</v>
      </c>
      <c r="AE97" s="38">
        <f>G97*1</f>
        <v>504.48</v>
      </c>
      <c r="AF97" s="38">
        <f>G97*(1-1)</f>
        <v>0</v>
      </c>
      <c r="AG97" s="68" t="s">
        <v>122</v>
      </c>
      <c r="AM97" s="38">
        <f>F97*AE97</f>
        <v>3531.36</v>
      </c>
      <c r="AN97" s="38">
        <f>F97*AF97</f>
        <v>0</v>
      </c>
      <c r="AO97" s="61" t="s">
        <v>319</v>
      </c>
      <c r="AP97" s="61" t="s">
        <v>329</v>
      </c>
      <c r="AQ97" s="57" t="s">
        <v>332</v>
      </c>
      <c r="AS97" s="38">
        <f>AM97+AN97</f>
        <v>3531.36</v>
      </c>
      <c r="AT97" s="38">
        <f>G97/(100-AU97)*100</f>
        <v>504.48</v>
      </c>
      <c r="AU97" s="38">
        <v>0</v>
      </c>
      <c r="AV97" s="38">
        <f>L97</f>
        <v>0.007</v>
      </c>
    </row>
    <row r="98" spans="4:6" ht="12.75">
      <c r="D98" s="66" t="s">
        <v>122</v>
      </c>
      <c r="F98" s="67">
        <v>7</v>
      </c>
    </row>
    <row r="99" spans="1:48" ht="12.75">
      <c r="A99" s="65" t="s">
        <v>184</v>
      </c>
      <c r="B99" s="65" t="s">
        <v>80</v>
      </c>
      <c r="C99" s="65" t="s">
        <v>218</v>
      </c>
      <c r="D99" s="65" t="s">
        <v>286</v>
      </c>
      <c r="E99" s="65" t="s">
        <v>305</v>
      </c>
      <c r="F99" s="69">
        <v>14.8</v>
      </c>
      <c r="G99" s="69">
        <v>626.44</v>
      </c>
      <c r="H99" s="69">
        <f>F99*AE99</f>
        <v>9271.312000000002</v>
      </c>
      <c r="I99" s="69">
        <f>J99-H99</f>
        <v>0</v>
      </c>
      <c r="J99" s="69">
        <f>F99*G99</f>
        <v>9271.312000000002</v>
      </c>
      <c r="K99" s="69">
        <v>0.011</v>
      </c>
      <c r="L99" s="69">
        <f>F99*K99</f>
        <v>0.1628</v>
      </c>
      <c r="M99" s="68" t="s">
        <v>308</v>
      </c>
      <c r="P99" s="38">
        <f>IF(AG99="5",J99,0)</f>
        <v>0</v>
      </c>
      <c r="R99" s="38">
        <f>IF(AG99="1",H99,0)</f>
        <v>0</v>
      </c>
      <c r="S99" s="38">
        <f>IF(AG99="1",I99,0)</f>
        <v>0</v>
      </c>
      <c r="T99" s="38">
        <f>IF(AG99="7",H99,0)</f>
        <v>9271.312000000002</v>
      </c>
      <c r="U99" s="38">
        <f>IF(AG99="7",I99,0)</f>
        <v>0</v>
      </c>
      <c r="V99" s="38">
        <f>IF(AG99="2",H99,0)</f>
        <v>0</v>
      </c>
      <c r="W99" s="38">
        <f>IF(AG99="2",I99,0)</f>
        <v>0</v>
      </c>
      <c r="X99" s="38">
        <f>IF(AG99="0",J99,0)</f>
        <v>0</v>
      </c>
      <c r="Y99" s="57" t="s">
        <v>80</v>
      </c>
      <c r="Z99" s="69">
        <f>IF(AD99=0,J99,0)</f>
        <v>0</v>
      </c>
      <c r="AA99" s="69">
        <f>IF(AD99=15,J99,0)</f>
        <v>0</v>
      </c>
      <c r="AB99" s="69">
        <f>IF(AD99=21,J99,0)</f>
        <v>9271.312000000002</v>
      </c>
      <c r="AD99" s="38">
        <v>21</v>
      </c>
      <c r="AE99" s="38">
        <f>G99*1</f>
        <v>626.44</v>
      </c>
      <c r="AF99" s="38">
        <f>G99*(1-1)</f>
        <v>0</v>
      </c>
      <c r="AG99" s="68" t="s">
        <v>122</v>
      </c>
      <c r="AM99" s="38">
        <f>F99*AE99</f>
        <v>9271.312000000002</v>
      </c>
      <c r="AN99" s="38">
        <f>F99*AF99</f>
        <v>0</v>
      </c>
      <c r="AO99" s="61" t="s">
        <v>319</v>
      </c>
      <c r="AP99" s="61" t="s">
        <v>329</v>
      </c>
      <c r="AQ99" s="57" t="s">
        <v>332</v>
      </c>
      <c r="AS99" s="38">
        <f>AM99+AN99</f>
        <v>9271.312000000002</v>
      </c>
      <c r="AT99" s="38">
        <f>G99/(100-AU99)*100</f>
        <v>626.44</v>
      </c>
      <c r="AU99" s="38">
        <v>0</v>
      </c>
      <c r="AV99" s="38">
        <f>L99</f>
        <v>0.1628</v>
      </c>
    </row>
    <row r="100" spans="4:6" ht="12.75">
      <c r="D100" s="66" t="s">
        <v>287</v>
      </c>
      <c r="F100" s="67">
        <v>10.4</v>
      </c>
    </row>
    <row r="101" spans="4:6" ht="12.75">
      <c r="D101" s="66" t="s">
        <v>288</v>
      </c>
      <c r="F101" s="67">
        <v>4.4</v>
      </c>
    </row>
    <row r="102" spans="1:37" ht="12.75">
      <c r="A102" s="45"/>
      <c r="B102" s="50" t="s">
        <v>80</v>
      </c>
      <c r="C102" s="50" t="s">
        <v>139</v>
      </c>
      <c r="D102" s="50" t="s">
        <v>154</v>
      </c>
      <c r="E102" s="45" t="s">
        <v>77</v>
      </c>
      <c r="F102" s="45" t="s">
        <v>77</v>
      </c>
      <c r="G102" s="45" t="s">
        <v>77</v>
      </c>
      <c r="H102" s="64">
        <f>SUM(H103:H105)</f>
        <v>1740.1999999999994</v>
      </c>
      <c r="I102" s="64">
        <f>SUM(I103:I105)</f>
        <v>8036.55</v>
      </c>
      <c r="J102" s="64">
        <f>H102+I102</f>
        <v>9776.75</v>
      </c>
      <c r="K102" s="57"/>
      <c r="L102" s="64">
        <f>SUM(L103:L105)</f>
        <v>0.0489</v>
      </c>
      <c r="M102" s="57"/>
      <c r="Y102" s="57" t="s">
        <v>80</v>
      </c>
      <c r="AI102" s="64">
        <f>SUM(Z103:Z105)</f>
        <v>0</v>
      </c>
      <c r="AJ102" s="64">
        <f>SUM(AA103:AA105)</f>
        <v>0</v>
      </c>
      <c r="AK102" s="64">
        <f>SUM(AB103:AB105)</f>
        <v>9776.75</v>
      </c>
    </row>
    <row r="103" spans="1:48" ht="12.75">
      <c r="A103" s="46" t="s">
        <v>185</v>
      </c>
      <c r="B103" s="46" t="s">
        <v>80</v>
      </c>
      <c r="C103" s="46" t="s">
        <v>219</v>
      </c>
      <c r="D103" s="46" t="s">
        <v>289</v>
      </c>
      <c r="E103" s="46" t="s">
        <v>303</v>
      </c>
      <c r="F103" s="62">
        <v>55</v>
      </c>
      <c r="G103" s="62">
        <v>57.2</v>
      </c>
      <c r="H103" s="62">
        <f>F103*AE103</f>
        <v>807.9500000000006</v>
      </c>
      <c r="I103" s="62">
        <f>J103-H103</f>
        <v>2338.0499999999993</v>
      </c>
      <c r="J103" s="62">
        <f>F103*G103</f>
        <v>3146</v>
      </c>
      <c r="K103" s="62">
        <v>0.00048</v>
      </c>
      <c r="L103" s="62">
        <f>F103*K103</f>
        <v>0.0264</v>
      </c>
      <c r="M103" s="60" t="s">
        <v>308</v>
      </c>
      <c r="P103" s="38">
        <f>IF(AG103="5",J103,0)</f>
        <v>0</v>
      </c>
      <c r="R103" s="38">
        <f>IF(AG103="1",H103,0)</f>
        <v>0</v>
      </c>
      <c r="S103" s="38">
        <f>IF(AG103="1",I103,0)</f>
        <v>0</v>
      </c>
      <c r="T103" s="38">
        <f>IF(AG103="7",H103,0)</f>
        <v>807.9500000000006</v>
      </c>
      <c r="U103" s="38">
        <f>IF(AG103="7",I103,0)</f>
        <v>2338.0499999999993</v>
      </c>
      <c r="V103" s="38">
        <f>IF(AG103="2",H103,0)</f>
        <v>0</v>
      </c>
      <c r="W103" s="38">
        <f>IF(AG103="2",I103,0)</f>
        <v>0</v>
      </c>
      <c r="X103" s="38">
        <f>IF(AG103="0",J103,0)</f>
        <v>0</v>
      </c>
      <c r="Y103" s="57" t="s">
        <v>80</v>
      </c>
      <c r="Z103" s="62">
        <f>IF(AD103=0,J103,0)</f>
        <v>0</v>
      </c>
      <c r="AA103" s="62">
        <f>IF(AD103=15,J103,0)</f>
        <v>0</v>
      </c>
      <c r="AB103" s="62">
        <f>IF(AD103=21,J103,0)</f>
        <v>3146</v>
      </c>
      <c r="AD103" s="38">
        <v>21</v>
      </c>
      <c r="AE103" s="38">
        <f>G103*0.256818181818182</f>
        <v>14.690000000000012</v>
      </c>
      <c r="AF103" s="38">
        <f>G103*(1-0.256818181818182)</f>
        <v>42.50999999999999</v>
      </c>
      <c r="AG103" s="60" t="s">
        <v>122</v>
      </c>
      <c r="AM103" s="38">
        <f>F103*AE103</f>
        <v>807.9500000000006</v>
      </c>
      <c r="AN103" s="38">
        <f>F103*AF103</f>
        <v>2338.0499999999993</v>
      </c>
      <c r="AO103" s="61" t="s">
        <v>320</v>
      </c>
      <c r="AP103" s="61" t="s">
        <v>330</v>
      </c>
      <c r="AQ103" s="57" t="s">
        <v>332</v>
      </c>
      <c r="AS103" s="38">
        <f>AM103+AN103</f>
        <v>3146</v>
      </c>
      <c r="AT103" s="38">
        <f>G103/(100-AU103)*100</f>
        <v>57.2</v>
      </c>
      <c r="AU103" s="38">
        <v>0</v>
      </c>
      <c r="AV103" s="38">
        <f>L103</f>
        <v>0.0264</v>
      </c>
    </row>
    <row r="104" spans="4:6" ht="12.75">
      <c r="D104" s="66" t="s">
        <v>290</v>
      </c>
      <c r="F104" s="67">
        <v>55</v>
      </c>
    </row>
    <row r="105" spans="1:48" ht="12.75">
      <c r="A105" s="46" t="s">
        <v>132</v>
      </c>
      <c r="B105" s="46" t="s">
        <v>80</v>
      </c>
      <c r="C105" s="46" t="s">
        <v>220</v>
      </c>
      <c r="D105" s="46" t="s">
        <v>291</v>
      </c>
      <c r="E105" s="46" t="s">
        <v>303</v>
      </c>
      <c r="F105" s="62">
        <v>75</v>
      </c>
      <c r="G105" s="62">
        <v>88.41</v>
      </c>
      <c r="H105" s="62">
        <f>F105*AE105</f>
        <v>932.2499999999987</v>
      </c>
      <c r="I105" s="62">
        <f>J105-H105</f>
        <v>5698.500000000001</v>
      </c>
      <c r="J105" s="62">
        <f>F105*G105</f>
        <v>6630.75</v>
      </c>
      <c r="K105" s="62">
        <v>0.0003</v>
      </c>
      <c r="L105" s="62">
        <f>F105*K105</f>
        <v>0.0225</v>
      </c>
      <c r="M105" s="60" t="s">
        <v>308</v>
      </c>
      <c r="P105" s="38">
        <f>IF(AG105="5",J105,0)</f>
        <v>0</v>
      </c>
      <c r="R105" s="38">
        <f>IF(AG105="1",H105,0)</f>
        <v>0</v>
      </c>
      <c r="S105" s="38">
        <f>IF(AG105="1",I105,0)</f>
        <v>0</v>
      </c>
      <c r="T105" s="38">
        <f>IF(AG105="7",H105,0)</f>
        <v>932.2499999999987</v>
      </c>
      <c r="U105" s="38">
        <f>IF(AG105="7",I105,0)</f>
        <v>5698.500000000001</v>
      </c>
      <c r="V105" s="38">
        <f>IF(AG105="2",H105,0)</f>
        <v>0</v>
      </c>
      <c r="W105" s="38">
        <f>IF(AG105="2",I105,0)</f>
        <v>0</v>
      </c>
      <c r="X105" s="38">
        <f>IF(AG105="0",J105,0)</f>
        <v>0</v>
      </c>
      <c r="Y105" s="57" t="s">
        <v>80</v>
      </c>
      <c r="Z105" s="62">
        <f>IF(AD105=0,J105,0)</f>
        <v>0</v>
      </c>
      <c r="AA105" s="62">
        <f>IF(AD105=15,J105,0)</f>
        <v>0</v>
      </c>
      <c r="AB105" s="62">
        <f>IF(AD105=21,J105,0)</f>
        <v>6630.75</v>
      </c>
      <c r="AD105" s="38">
        <v>21</v>
      </c>
      <c r="AE105" s="38">
        <f>G105*0.140594955321796</f>
        <v>12.429999999999984</v>
      </c>
      <c r="AF105" s="38">
        <f>G105*(1-0.140594955321796)</f>
        <v>75.98000000000002</v>
      </c>
      <c r="AG105" s="60" t="s">
        <v>122</v>
      </c>
      <c r="AM105" s="38">
        <f>F105*AE105</f>
        <v>932.2499999999987</v>
      </c>
      <c r="AN105" s="38">
        <f>F105*AF105</f>
        <v>5698.500000000002</v>
      </c>
      <c r="AO105" s="61" t="s">
        <v>320</v>
      </c>
      <c r="AP105" s="61" t="s">
        <v>330</v>
      </c>
      <c r="AQ105" s="57" t="s">
        <v>332</v>
      </c>
      <c r="AS105" s="38">
        <f>AM105+AN105</f>
        <v>6630.750000000001</v>
      </c>
      <c r="AT105" s="38">
        <f>G105/(100-AU105)*100</f>
        <v>88.41</v>
      </c>
      <c r="AU105" s="38">
        <v>0</v>
      </c>
      <c r="AV105" s="38">
        <f>L105</f>
        <v>0.0225</v>
      </c>
    </row>
    <row r="106" spans="4:6" ht="12.75">
      <c r="D106" s="66" t="s">
        <v>292</v>
      </c>
      <c r="F106" s="67">
        <v>75</v>
      </c>
    </row>
    <row r="107" spans="1:37" ht="12.75">
      <c r="A107" s="45"/>
      <c r="B107" s="50" t="s">
        <v>80</v>
      </c>
      <c r="C107" s="50" t="s">
        <v>140</v>
      </c>
      <c r="D107" s="50" t="s">
        <v>155</v>
      </c>
      <c r="E107" s="45" t="s">
        <v>77</v>
      </c>
      <c r="F107" s="45" t="s">
        <v>77</v>
      </c>
      <c r="G107" s="45" t="s">
        <v>77</v>
      </c>
      <c r="H107" s="64">
        <f>SUM(H108:H110)</f>
        <v>329.8766200170103</v>
      </c>
      <c r="I107" s="64">
        <f>SUM(I108:I110)</f>
        <v>5179.84407998299</v>
      </c>
      <c r="J107" s="64">
        <f>H107+I107</f>
        <v>5509.7207</v>
      </c>
      <c r="K107" s="57"/>
      <c r="L107" s="64">
        <f>SUM(L108:L110)</f>
        <v>6.0398374</v>
      </c>
      <c r="M107" s="57"/>
      <c r="Y107" s="57" t="s">
        <v>80</v>
      </c>
      <c r="AI107" s="64">
        <f>SUM(Z108:Z110)</f>
        <v>0</v>
      </c>
      <c r="AJ107" s="64">
        <f>SUM(AA108:AA110)</f>
        <v>0</v>
      </c>
      <c r="AK107" s="64">
        <f>SUM(AB108:AB110)</f>
        <v>5509.7207</v>
      </c>
    </row>
    <row r="108" spans="1:48" ht="12.75">
      <c r="A108" s="46" t="s">
        <v>186</v>
      </c>
      <c r="B108" s="46" t="s">
        <v>80</v>
      </c>
      <c r="C108" s="46" t="s">
        <v>221</v>
      </c>
      <c r="D108" s="46" t="s">
        <v>293</v>
      </c>
      <c r="E108" s="46" t="s">
        <v>303</v>
      </c>
      <c r="F108" s="62">
        <v>5</v>
      </c>
      <c r="G108" s="62">
        <v>170.5</v>
      </c>
      <c r="H108" s="62">
        <f>F108*AE108</f>
        <v>196.7</v>
      </c>
      <c r="I108" s="62">
        <f>J108-H108</f>
        <v>655.8</v>
      </c>
      <c r="J108" s="62">
        <f>F108*G108</f>
        <v>852.5</v>
      </c>
      <c r="K108" s="62">
        <v>0.10165</v>
      </c>
      <c r="L108" s="62">
        <f>F108*K108</f>
        <v>0.50825</v>
      </c>
      <c r="M108" s="60" t="s">
        <v>308</v>
      </c>
      <c r="P108" s="38">
        <f>IF(AG108="5",J108,0)</f>
        <v>0</v>
      </c>
      <c r="R108" s="38">
        <f>IF(AG108="1",H108,0)</f>
        <v>196.7</v>
      </c>
      <c r="S108" s="38">
        <f>IF(AG108="1",I108,0)</f>
        <v>655.8</v>
      </c>
      <c r="T108" s="38">
        <f>IF(AG108="7",H108,0)</f>
        <v>0</v>
      </c>
      <c r="U108" s="38">
        <f>IF(AG108="7",I108,0)</f>
        <v>0</v>
      </c>
      <c r="V108" s="38">
        <f>IF(AG108="2",H108,0)</f>
        <v>0</v>
      </c>
      <c r="W108" s="38">
        <f>IF(AG108="2",I108,0)</f>
        <v>0</v>
      </c>
      <c r="X108" s="38">
        <f>IF(AG108="0",J108,0)</f>
        <v>0</v>
      </c>
      <c r="Y108" s="57" t="s">
        <v>80</v>
      </c>
      <c r="Z108" s="62">
        <f>IF(AD108=0,J108,0)</f>
        <v>0</v>
      </c>
      <c r="AA108" s="62">
        <f>IF(AD108=15,J108,0)</f>
        <v>0</v>
      </c>
      <c r="AB108" s="62">
        <f>IF(AD108=21,J108,0)</f>
        <v>852.5</v>
      </c>
      <c r="AD108" s="38">
        <v>21</v>
      </c>
      <c r="AE108" s="38">
        <f>G108*0.230733137829912</f>
        <v>39.339999999999996</v>
      </c>
      <c r="AF108" s="38">
        <f>G108*(1-0.230733137829912)</f>
        <v>131.16</v>
      </c>
      <c r="AG108" s="60" t="s">
        <v>97</v>
      </c>
      <c r="AM108" s="38">
        <f>F108*AE108</f>
        <v>196.7</v>
      </c>
      <c r="AN108" s="38">
        <f>F108*AF108</f>
        <v>655.8</v>
      </c>
      <c r="AO108" s="61" t="s">
        <v>321</v>
      </c>
      <c r="AP108" s="61" t="s">
        <v>331</v>
      </c>
      <c r="AQ108" s="57" t="s">
        <v>332</v>
      </c>
      <c r="AS108" s="38">
        <f>AM108+AN108</f>
        <v>852.5</v>
      </c>
      <c r="AT108" s="38">
        <f>G108/(100-AU108)*100</f>
        <v>170.5</v>
      </c>
      <c r="AU108" s="38">
        <v>0</v>
      </c>
      <c r="AV108" s="38">
        <f>L108</f>
        <v>0.50825</v>
      </c>
    </row>
    <row r="109" spans="4:6" ht="12.75">
      <c r="D109" s="66" t="s">
        <v>294</v>
      </c>
      <c r="F109" s="67">
        <v>5</v>
      </c>
    </row>
    <row r="110" spans="1:48" ht="12.75">
      <c r="A110" s="46" t="s">
        <v>187</v>
      </c>
      <c r="B110" s="46" t="s">
        <v>80</v>
      </c>
      <c r="C110" s="46" t="s">
        <v>222</v>
      </c>
      <c r="D110" s="46" t="s">
        <v>295</v>
      </c>
      <c r="E110" s="46" t="s">
        <v>302</v>
      </c>
      <c r="F110" s="62">
        <v>3.07</v>
      </c>
      <c r="G110" s="62">
        <v>1517.01</v>
      </c>
      <c r="H110" s="62">
        <f>F110*AE110</f>
        <v>133.17662001701026</v>
      </c>
      <c r="I110" s="62">
        <f>J110-H110</f>
        <v>4524.044079982989</v>
      </c>
      <c r="J110" s="62">
        <f>F110*G110</f>
        <v>4657.2207</v>
      </c>
      <c r="K110" s="62">
        <v>1.80182</v>
      </c>
      <c r="L110" s="62">
        <f>F110*K110</f>
        <v>5.531587399999999</v>
      </c>
      <c r="M110" s="60" t="s">
        <v>308</v>
      </c>
      <c r="P110" s="38">
        <f>IF(AG110="5",J110,0)</f>
        <v>0</v>
      </c>
      <c r="R110" s="38">
        <f>IF(AG110="1",H110,0)</f>
        <v>133.17662001701026</v>
      </c>
      <c r="S110" s="38">
        <f>IF(AG110="1",I110,0)</f>
        <v>4524.044079982989</v>
      </c>
      <c r="T110" s="38">
        <f>IF(AG110="7",H110,0)</f>
        <v>0</v>
      </c>
      <c r="U110" s="38">
        <f>IF(AG110="7",I110,0)</f>
        <v>0</v>
      </c>
      <c r="V110" s="38">
        <f>IF(AG110="2",H110,0)</f>
        <v>0</v>
      </c>
      <c r="W110" s="38">
        <f>IF(AG110="2",I110,0)</f>
        <v>0</v>
      </c>
      <c r="X110" s="38">
        <f>IF(AG110="0",J110,0)</f>
        <v>0</v>
      </c>
      <c r="Y110" s="57" t="s">
        <v>80</v>
      </c>
      <c r="Z110" s="62">
        <f>IF(AD110=0,J110,0)</f>
        <v>0</v>
      </c>
      <c r="AA110" s="62">
        <f>IF(AD110=15,J110,0)</f>
        <v>0</v>
      </c>
      <c r="AB110" s="62">
        <f>IF(AD110=21,J110,0)</f>
        <v>4657.2207</v>
      </c>
      <c r="AD110" s="38">
        <v>21</v>
      </c>
      <c r="AE110" s="38">
        <f>G110*0.0285957287824067</f>
        <v>43.38000652019878</v>
      </c>
      <c r="AF110" s="38">
        <f>G110*(1-0.0285957287824067)</f>
        <v>1473.6299934798012</v>
      </c>
      <c r="AG110" s="60" t="s">
        <v>97</v>
      </c>
      <c r="AM110" s="38">
        <f>F110*AE110</f>
        <v>133.17662001701026</v>
      </c>
      <c r="AN110" s="38">
        <f>F110*AF110</f>
        <v>4524.044079982989</v>
      </c>
      <c r="AO110" s="61" t="s">
        <v>321</v>
      </c>
      <c r="AP110" s="61" t="s">
        <v>331</v>
      </c>
      <c r="AQ110" s="57" t="s">
        <v>332</v>
      </c>
      <c r="AS110" s="38">
        <f>AM110+AN110</f>
        <v>4657.2207</v>
      </c>
      <c r="AT110" s="38">
        <f>G110/(100-AU110)*100</f>
        <v>1517.01</v>
      </c>
      <c r="AU110" s="38">
        <v>0</v>
      </c>
      <c r="AV110" s="38">
        <f>L110</f>
        <v>5.531587399999999</v>
      </c>
    </row>
    <row r="111" spans="4:6" ht="12.75">
      <c r="D111" s="66" t="s">
        <v>296</v>
      </c>
      <c r="F111" s="67">
        <v>3.07</v>
      </c>
    </row>
    <row r="112" spans="1:37" ht="12.75">
      <c r="A112" s="45"/>
      <c r="B112" s="50" t="s">
        <v>80</v>
      </c>
      <c r="C112" s="50" t="s">
        <v>141</v>
      </c>
      <c r="D112" s="50" t="s">
        <v>156</v>
      </c>
      <c r="E112" s="45" t="s">
        <v>77</v>
      </c>
      <c r="F112" s="45" t="s">
        <v>77</v>
      </c>
      <c r="G112" s="45" t="s">
        <v>77</v>
      </c>
      <c r="H112" s="64">
        <f>SUM(H113:H113)</f>
        <v>0</v>
      </c>
      <c r="I112" s="64">
        <f>SUM(I113:I113)</f>
        <v>9351.7907</v>
      </c>
      <c r="J112" s="64">
        <f>H112+I112</f>
        <v>9351.7907</v>
      </c>
      <c r="K112" s="57"/>
      <c r="L112" s="64">
        <f>SUM(L113:L113)</f>
        <v>0</v>
      </c>
      <c r="M112" s="57"/>
      <c r="Y112" s="57" t="s">
        <v>80</v>
      </c>
      <c r="AI112" s="64">
        <f>SUM(Z113:Z113)</f>
        <v>0</v>
      </c>
      <c r="AJ112" s="64">
        <f>SUM(AA113:AA113)</f>
        <v>0</v>
      </c>
      <c r="AK112" s="64">
        <f>SUM(AB113:AB113)</f>
        <v>9351.7907</v>
      </c>
    </row>
    <row r="113" spans="1:48" ht="12.75">
      <c r="A113" s="46" t="s">
        <v>188</v>
      </c>
      <c r="B113" s="46" t="s">
        <v>80</v>
      </c>
      <c r="C113" s="46" t="s">
        <v>223</v>
      </c>
      <c r="D113" s="46" t="s">
        <v>297</v>
      </c>
      <c r="E113" s="46" t="s">
        <v>307</v>
      </c>
      <c r="F113" s="62">
        <v>32.93</v>
      </c>
      <c r="G113" s="62">
        <v>283.99</v>
      </c>
      <c r="H113" s="62">
        <f>F113*AE113</f>
        <v>0</v>
      </c>
      <c r="I113" s="62">
        <f>J113-H113</f>
        <v>9351.7907</v>
      </c>
      <c r="J113" s="62">
        <f>F113*G113</f>
        <v>9351.7907</v>
      </c>
      <c r="K113" s="62">
        <v>0</v>
      </c>
      <c r="L113" s="62">
        <f>F113*K113</f>
        <v>0</v>
      </c>
      <c r="M113" s="60" t="s">
        <v>308</v>
      </c>
      <c r="P113" s="38">
        <f>IF(AG113="5",J113,0)</f>
        <v>9351.7907</v>
      </c>
      <c r="R113" s="38">
        <f>IF(AG113="1",H113,0)</f>
        <v>0</v>
      </c>
      <c r="S113" s="38">
        <f>IF(AG113="1",I113,0)</f>
        <v>0</v>
      </c>
      <c r="T113" s="38">
        <f>IF(AG113="7",H113,0)</f>
        <v>0</v>
      </c>
      <c r="U113" s="38">
        <f>IF(AG113="7",I113,0)</f>
        <v>0</v>
      </c>
      <c r="V113" s="38">
        <f>IF(AG113="2",H113,0)</f>
        <v>0</v>
      </c>
      <c r="W113" s="38">
        <f>IF(AG113="2",I113,0)</f>
        <v>0</v>
      </c>
      <c r="X113" s="38">
        <f>IF(AG113="0",J113,0)</f>
        <v>0</v>
      </c>
      <c r="Y113" s="57" t="s">
        <v>80</v>
      </c>
      <c r="Z113" s="62">
        <f>IF(AD113=0,J113,0)</f>
        <v>0</v>
      </c>
      <c r="AA113" s="62">
        <f>IF(AD113=15,J113,0)</f>
        <v>0</v>
      </c>
      <c r="AB113" s="62">
        <f>IF(AD113=21,J113,0)</f>
        <v>9351.7907</v>
      </c>
      <c r="AD113" s="38">
        <v>21</v>
      </c>
      <c r="AE113" s="38">
        <f>G113*0</f>
        <v>0</v>
      </c>
      <c r="AF113" s="38">
        <f>G113*(1-0)</f>
        <v>283.99</v>
      </c>
      <c r="AG113" s="60" t="s">
        <v>162</v>
      </c>
      <c r="AM113" s="38">
        <f>F113*AE113</f>
        <v>0</v>
      </c>
      <c r="AN113" s="38">
        <f>F113*AF113</f>
        <v>9351.7907</v>
      </c>
      <c r="AO113" s="61" t="s">
        <v>322</v>
      </c>
      <c r="AP113" s="61" t="s">
        <v>331</v>
      </c>
      <c r="AQ113" s="57" t="s">
        <v>332</v>
      </c>
      <c r="AS113" s="38">
        <f>AM113+AN113</f>
        <v>9351.7907</v>
      </c>
      <c r="AT113" s="38">
        <f>G113/(100-AU113)*100</f>
        <v>283.99</v>
      </c>
      <c r="AU113" s="38">
        <v>0</v>
      </c>
      <c r="AV113" s="38">
        <f>L113</f>
        <v>0</v>
      </c>
    </row>
    <row r="114" spans="4:6" ht="12.75">
      <c r="D114" s="66" t="s">
        <v>298</v>
      </c>
      <c r="F114" s="67">
        <v>32.93</v>
      </c>
    </row>
    <row r="115" spans="1:37" ht="12.75">
      <c r="A115" s="45"/>
      <c r="B115" s="50" t="s">
        <v>80</v>
      </c>
      <c r="C115" s="50" t="s">
        <v>142</v>
      </c>
      <c r="D115" s="50" t="s">
        <v>157</v>
      </c>
      <c r="E115" s="45" t="s">
        <v>77</v>
      </c>
      <c r="F115" s="45" t="s">
        <v>77</v>
      </c>
      <c r="G115" s="45" t="s">
        <v>77</v>
      </c>
      <c r="H115" s="64">
        <f>SUM(H116:H118)</f>
        <v>16.224999999999955</v>
      </c>
      <c r="I115" s="64">
        <f>SUM(I116:I118)</f>
        <v>8374.025</v>
      </c>
      <c r="J115" s="64">
        <f>H115+I115</f>
        <v>8390.25</v>
      </c>
      <c r="K115" s="57"/>
      <c r="L115" s="64">
        <f>SUM(L116:L118)</f>
        <v>0</v>
      </c>
      <c r="M115" s="57"/>
      <c r="Y115" s="57" t="s">
        <v>80</v>
      </c>
      <c r="AI115" s="64">
        <f>SUM(Z116:Z118)</f>
        <v>0</v>
      </c>
      <c r="AJ115" s="64">
        <f>SUM(AA116:AA118)</f>
        <v>0</v>
      </c>
      <c r="AK115" s="64">
        <f>SUM(AB116:AB118)</f>
        <v>8390.25</v>
      </c>
    </row>
    <row r="116" spans="1:48" ht="12.75">
      <c r="A116" s="46" t="s">
        <v>127</v>
      </c>
      <c r="B116" s="46" t="s">
        <v>80</v>
      </c>
      <c r="C116" s="46" t="s">
        <v>224</v>
      </c>
      <c r="D116" s="46" t="s">
        <v>299</v>
      </c>
      <c r="E116" s="46" t="s">
        <v>307</v>
      </c>
      <c r="F116" s="62">
        <v>5.5</v>
      </c>
      <c r="G116" s="62">
        <v>290.5</v>
      </c>
      <c r="H116" s="62">
        <f>F116*AE116</f>
        <v>16.224999999999955</v>
      </c>
      <c r="I116" s="62">
        <f>J116-H116</f>
        <v>1581.525</v>
      </c>
      <c r="J116" s="62">
        <f>F116*G116</f>
        <v>1597.75</v>
      </c>
      <c r="K116" s="62">
        <v>0</v>
      </c>
      <c r="L116" s="62">
        <f>F116*K116</f>
        <v>0</v>
      </c>
      <c r="M116" s="60" t="s">
        <v>308</v>
      </c>
      <c r="P116" s="38">
        <f>IF(AG116="5",J116,0)</f>
        <v>1597.75</v>
      </c>
      <c r="R116" s="38">
        <f>IF(AG116="1",H116,0)</f>
        <v>0</v>
      </c>
      <c r="S116" s="38">
        <f>IF(AG116="1",I116,0)</f>
        <v>0</v>
      </c>
      <c r="T116" s="38">
        <f>IF(AG116="7",H116,0)</f>
        <v>0</v>
      </c>
      <c r="U116" s="38">
        <f>IF(AG116="7",I116,0)</f>
        <v>0</v>
      </c>
      <c r="V116" s="38">
        <f>IF(AG116="2",H116,0)</f>
        <v>0</v>
      </c>
      <c r="W116" s="38">
        <f>IF(AG116="2",I116,0)</f>
        <v>0</v>
      </c>
      <c r="X116" s="38">
        <f>IF(AG116="0",J116,0)</f>
        <v>0</v>
      </c>
      <c r="Y116" s="57" t="s">
        <v>80</v>
      </c>
      <c r="Z116" s="62">
        <f>IF(AD116=0,J116,0)</f>
        <v>0</v>
      </c>
      <c r="AA116" s="62">
        <f>IF(AD116=15,J116,0)</f>
        <v>0</v>
      </c>
      <c r="AB116" s="62">
        <f>IF(AD116=21,J116,0)</f>
        <v>1597.75</v>
      </c>
      <c r="AD116" s="38">
        <v>21</v>
      </c>
      <c r="AE116" s="38">
        <f>G116*0.0101549053356282</f>
        <v>2.9499999999999917</v>
      </c>
      <c r="AF116" s="38">
        <f>G116*(1-0.0101549053356282)</f>
        <v>287.55</v>
      </c>
      <c r="AG116" s="60" t="s">
        <v>162</v>
      </c>
      <c r="AM116" s="38">
        <f>F116*AE116</f>
        <v>16.224999999999955</v>
      </c>
      <c r="AN116" s="38">
        <f>F116*AF116</f>
        <v>1581.525</v>
      </c>
      <c r="AO116" s="61" t="s">
        <v>323</v>
      </c>
      <c r="AP116" s="61" t="s">
        <v>331</v>
      </c>
      <c r="AQ116" s="57" t="s">
        <v>332</v>
      </c>
      <c r="AS116" s="38">
        <f>AM116+AN116</f>
        <v>1597.75</v>
      </c>
      <c r="AT116" s="38">
        <f>G116/(100-AU116)*100</f>
        <v>290.5</v>
      </c>
      <c r="AU116" s="38">
        <v>0</v>
      </c>
      <c r="AV116" s="38">
        <f>L116</f>
        <v>0</v>
      </c>
    </row>
    <row r="117" spans="4:6" ht="12.75">
      <c r="D117" s="66" t="s">
        <v>300</v>
      </c>
      <c r="F117" s="67">
        <v>5.5</v>
      </c>
    </row>
    <row r="118" spans="1:48" ht="12.75">
      <c r="A118" s="46" t="s">
        <v>381</v>
      </c>
      <c r="B118" s="46" t="s">
        <v>80</v>
      </c>
      <c r="C118" s="46" t="s">
        <v>225</v>
      </c>
      <c r="D118" s="46" t="s">
        <v>301</v>
      </c>
      <c r="E118" s="46" t="s">
        <v>307</v>
      </c>
      <c r="F118" s="62">
        <v>5.5</v>
      </c>
      <c r="G118" s="62">
        <v>1235</v>
      </c>
      <c r="H118" s="62">
        <f>F118*AE118</f>
        <v>0</v>
      </c>
      <c r="I118" s="62">
        <f>J118-H118</f>
        <v>6792.5</v>
      </c>
      <c r="J118" s="62">
        <f>F118*G118</f>
        <v>6792.5</v>
      </c>
      <c r="K118" s="62">
        <v>0</v>
      </c>
      <c r="L118" s="62">
        <f>F118*K118</f>
        <v>0</v>
      </c>
      <c r="M118" s="60" t="s">
        <v>308</v>
      </c>
      <c r="P118" s="38">
        <f>IF(AG118="5",J118,0)</f>
        <v>6792.5</v>
      </c>
      <c r="R118" s="38">
        <f>IF(AG118="1",H118,0)</f>
        <v>0</v>
      </c>
      <c r="S118" s="38">
        <f>IF(AG118="1",I118,0)</f>
        <v>0</v>
      </c>
      <c r="T118" s="38">
        <f>IF(AG118="7",H118,0)</f>
        <v>0</v>
      </c>
      <c r="U118" s="38">
        <f>IF(AG118="7",I118,0)</f>
        <v>0</v>
      </c>
      <c r="V118" s="38">
        <f>IF(AG118="2",H118,0)</f>
        <v>0</v>
      </c>
      <c r="W118" s="38">
        <f>IF(AG118="2",I118,0)</f>
        <v>0</v>
      </c>
      <c r="X118" s="38">
        <f>IF(AG118="0",J118,0)</f>
        <v>0</v>
      </c>
      <c r="Y118" s="57" t="s">
        <v>80</v>
      </c>
      <c r="Z118" s="62">
        <f>IF(AD118=0,J118,0)</f>
        <v>0</v>
      </c>
      <c r="AA118" s="62">
        <f>IF(AD118=15,J118,0)</f>
        <v>0</v>
      </c>
      <c r="AB118" s="62">
        <f>IF(AD118=21,J118,0)</f>
        <v>6792.5</v>
      </c>
      <c r="AD118" s="38">
        <v>21</v>
      </c>
      <c r="AE118" s="38">
        <f>G118*0</f>
        <v>0</v>
      </c>
      <c r="AF118" s="38">
        <f>G118*(1-0)</f>
        <v>1235</v>
      </c>
      <c r="AG118" s="60" t="s">
        <v>162</v>
      </c>
      <c r="AM118" s="38">
        <f>F118*AE118</f>
        <v>0</v>
      </c>
      <c r="AN118" s="38">
        <f>F118*AF118</f>
        <v>6792.5</v>
      </c>
      <c r="AO118" s="61" t="s">
        <v>323</v>
      </c>
      <c r="AP118" s="61" t="s">
        <v>331</v>
      </c>
      <c r="AQ118" s="57" t="s">
        <v>332</v>
      </c>
      <c r="AS118" s="38">
        <f>AM118+AN118</f>
        <v>6792.5</v>
      </c>
      <c r="AT118" s="38">
        <f>G118/(100-AU118)*100</f>
        <v>1235</v>
      </c>
      <c r="AU118" s="38">
        <v>0</v>
      </c>
      <c r="AV118" s="38">
        <f>L118</f>
        <v>0</v>
      </c>
    </row>
    <row r="119" spans="4:6" ht="12.75">
      <c r="D119" s="66" t="s">
        <v>300</v>
      </c>
      <c r="F119" s="67">
        <v>5.5</v>
      </c>
    </row>
    <row r="120" spans="1:13" ht="12.75">
      <c r="A120" s="70"/>
      <c r="B120" s="71" t="s">
        <v>81</v>
      </c>
      <c r="C120" s="71"/>
      <c r="D120" s="71" t="s">
        <v>86</v>
      </c>
      <c r="E120" s="70" t="s">
        <v>77</v>
      </c>
      <c r="F120" s="70" t="s">
        <v>77</v>
      </c>
      <c r="G120" s="70" t="s">
        <v>77</v>
      </c>
      <c r="H120" s="73">
        <f>H121</f>
        <v>48832.00000000001</v>
      </c>
      <c r="I120" s="73">
        <f>I121</f>
        <v>19066.999999999993</v>
      </c>
      <c r="J120" s="73">
        <f>H120+I120</f>
        <v>67899</v>
      </c>
      <c r="K120" s="72"/>
      <c r="L120" s="73">
        <f>L121</f>
        <v>0</v>
      </c>
      <c r="M120" s="72"/>
    </row>
    <row r="121" spans="1:37" ht="12.75">
      <c r="A121" s="45"/>
      <c r="B121" s="50" t="s">
        <v>81</v>
      </c>
      <c r="C121" s="50" t="s">
        <v>334</v>
      </c>
      <c r="D121" s="50" t="s">
        <v>335</v>
      </c>
      <c r="E121" s="45" t="s">
        <v>77</v>
      </c>
      <c r="F121" s="45" t="s">
        <v>77</v>
      </c>
      <c r="G121" s="45" t="s">
        <v>77</v>
      </c>
      <c r="H121" s="64">
        <f>SUM(H122:H122)</f>
        <v>48832.00000000001</v>
      </c>
      <c r="I121" s="64">
        <f>SUM(I122:I122)</f>
        <v>19066.999999999993</v>
      </c>
      <c r="J121" s="64">
        <f>H121+I121</f>
        <v>67899</v>
      </c>
      <c r="K121" s="57"/>
      <c r="L121" s="64">
        <f>SUM(L122:L122)</f>
        <v>0</v>
      </c>
      <c r="M121" s="57"/>
      <c r="Y121" s="57" t="s">
        <v>81</v>
      </c>
      <c r="AI121" s="64">
        <f>SUM(Z122:Z122)</f>
        <v>0</v>
      </c>
      <c r="AJ121" s="64">
        <f>SUM(AA122:AA122)</f>
        <v>0</v>
      </c>
      <c r="AK121" s="64">
        <f>SUM(AB122:AB122)</f>
        <v>67899</v>
      </c>
    </row>
    <row r="122" spans="1:48" ht="12.75">
      <c r="A122" s="46" t="s">
        <v>382</v>
      </c>
      <c r="B122" s="46" t="s">
        <v>81</v>
      </c>
      <c r="C122" s="46" t="s">
        <v>337</v>
      </c>
      <c r="D122" s="46" t="s">
        <v>338</v>
      </c>
      <c r="E122" s="46" t="s">
        <v>107</v>
      </c>
      <c r="F122" s="62">
        <v>1</v>
      </c>
      <c r="G122" s="62">
        <v>67899</v>
      </c>
      <c r="H122" s="62">
        <f>F122*AE122</f>
        <v>48832.00000000001</v>
      </c>
      <c r="I122" s="62">
        <f>J122-H122</f>
        <v>19066.999999999993</v>
      </c>
      <c r="J122" s="62">
        <f>F122*G122</f>
        <v>67899</v>
      </c>
      <c r="K122" s="62">
        <v>0</v>
      </c>
      <c r="L122" s="62">
        <f>F122*K122</f>
        <v>0</v>
      </c>
      <c r="M122" s="60"/>
      <c r="P122" s="38">
        <f>IF(AG122="5",J122,0)</f>
        <v>0</v>
      </c>
      <c r="R122" s="38">
        <f>IF(AG122="1",H122,0)</f>
        <v>0</v>
      </c>
      <c r="S122" s="38">
        <f>IF(AG122="1",I122,0)</f>
        <v>0</v>
      </c>
      <c r="T122" s="38">
        <f>IF(AG122="7",H122,0)</f>
        <v>0</v>
      </c>
      <c r="U122" s="38">
        <f>IF(AG122="7",I122,0)</f>
        <v>0</v>
      </c>
      <c r="V122" s="38">
        <f>IF(AG122="2",H122,0)</f>
        <v>48832.00000000001</v>
      </c>
      <c r="W122" s="38">
        <f>IF(AG122="2",I122,0)</f>
        <v>19066.999999999993</v>
      </c>
      <c r="X122" s="38">
        <f>IF(AG122="0",J122,0)</f>
        <v>0</v>
      </c>
      <c r="Y122" s="57" t="s">
        <v>81</v>
      </c>
      <c r="Z122" s="62">
        <f>IF(AD122=0,J122,0)</f>
        <v>0</v>
      </c>
      <c r="AA122" s="62">
        <f>IF(AD122=15,J122,0)</f>
        <v>0</v>
      </c>
      <c r="AB122" s="62">
        <f>IF(AD122=21,J122,0)</f>
        <v>67899</v>
      </c>
      <c r="AD122" s="38">
        <v>21</v>
      </c>
      <c r="AE122" s="38">
        <f>G122*0.719185849570686</f>
        <v>48832.00000000001</v>
      </c>
      <c r="AF122" s="38">
        <f>G122*(1-0.719185849570686)</f>
        <v>19066.999999999993</v>
      </c>
      <c r="AG122" s="60" t="s">
        <v>159</v>
      </c>
      <c r="AM122" s="38">
        <f>F122*AE122</f>
        <v>48832.00000000001</v>
      </c>
      <c r="AN122" s="38">
        <f>F122*AF122</f>
        <v>19066.999999999993</v>
      </c>
      <c r="AO122" s="61" t="s">
        <v>339</v>
      </c>
      <c r="AP122" s="61" t="s">
        <v>340</v>
      </c>
      <c r="AQ122" s="57" t="s">
        <v>341</v>
      </c>
      <c r="AS122" s="38">
        <f>AM122+AN122</f>
        <v>67899</v>
      </c>
      <c r="AT122" s="38">
        <f>G122/(100-AU122)*100</f>
        <v>67899</v>
      </c>
      <c r="AU122" s="38">
        <v>0</v>
      </c>
      <c r="AV122" s="38">
        <f>L122</f>
        <v>0</v>
      </c>
    </row>
    <row r="123" spans="4:6" ht="12.75">
      <c r="D123" s="66" t="s">
        <v>97</v>
      </c>
      <c r="F123" s="67">
        <v>1</v>
      </c>
    </row>
    <row r="124" spans="1:13" ht="12.75">
      <c r="A124" s="70"/>
      <c r="B124" s="71" t="s">
        <v>82</v>
      </c>
      <c r="C124" s="71"/>
      <c r="D124" s="71" t="s">
        <v>87</v>
      </c>
      <c r="E124" s="70" t="s">
        <v>77</v>
      </c>
      <c r="F124" s="70" t="s">
        <v>77</v>
      </c>
      <c r="G124" s="70" t="s">
        <v>77</v>
      </c>
      <c r="H124" s="73">
        <f>H125+H141</f>
        <v>26908.099999999984</v>
      </c>
      <c r="I124" s="73">
        <f>I125+I141</f>
        <v>80699.49000000002</v>
      </c>
      <c r="J124" s="73">
        <f>H124+I124</f>
        <v>107607.59</v>
      </c>
      <c r="K124" s="72"/>
      <c r="L124" s="73">
        <f>L125+L141</f>
        <v>0</v>
      </c>
      <c r="M124" s="72"/>
    </row>
    <row r="125" spans="1:37" ht="12.75">
      <c r="A125" s="45"/>
      <c r="B125" s="50" t="s">
        <v>82</v>
      </c>
      <c r="C125" s="50" t="s">
        <v>343</v>
      </c>
      <c r="D125" s="50" t="s">
        <v>344</v>
      </c>
      <c r="E125" s="45" t="s">
        <v>77</v>
      </c>
      <c r="F125" s="45" t="s">
        <v>77</v>
      </c>
      <c r="G125" s="45" t="s">
        <v>77</v>
      </c>
      <c r="H125" s="64">
        <f>SUM(H126:H139)</f>
        <v>26908.099999999984</v>
      </c>
      <c r="I125" s="64">
        <f>SUM(I126:I139)</f>
        <v>76217.50000000001</v>
      </c>
      <c r="J125" s="64">
        <f>H125+I125</f>
        <v>103125.6</v>
      </c>
      <c r="K125" s="57"/>
      <c r="L125" s="64">
        <f>SUM(L126:L139)</f>
        <v>0</v>
      </c>
      <c r="M125" s="57"/>
      <c r="Y125" s="57" t="s">
        <v>82</v>
      </c>
      <c r="AI125" s="64">
        <f>SUM(Z126:Z139)</f>
        <v>0</v>
      </c>
      <c r="AJ125" s="64">
        <f>SUM(AA126:AA139)</f>
        <v>0</v>
      </c>
      <c r="AK125" s="64">
        <f>SUM(AB126:AB139)</f>
        <v>103125.6</v>
      </c>
    </row>
    <row r="126" spans="1:48" ht="12.75">
      <c r="A126" s="46" t="s">
        <v>383</v>
      </c>
      <c r="B126" s="46" t="s">
        <v>82</v>
      </c>
      <c r="C126" s="46" t="s">
        <v>346</v>
      </c>
      <c r="D126" s="46" t="s">
        <v>355</v>
      </c>
      <c r="E126" s="46" t="s">
        <v>303</v>
      </c>
      <c r="F126" s="62">
        <v>204.28</v>
      </c>
      <c r="G126" s="62">
        <v>195</v>
      </c>
      <c r="H126" s="62">
        <f>F126*AE126</f>
        <v>16342.39999999999</v>
      </c>
      <c r="I126" s="62">
        <f>J126-H126</f>
        <v>23492.200000000008</v>
      </c>
      <c r="J126" s="62">
        <f>F126*G126</f>
        <v>39834.6</v>
      </c>
      <c r="K126" s="62">
        <v>0</v>
      </c>
      <c r="L126" s="62">
        <f>F126*K126</f>
        <v>0</v>
      </c>
      <c r="M126" s="60"/>
      <c r="P126" s="38">
        <f>IF(AG126="5",J126,0)</f>
        <v>0</v>
      </c>
      <c r="R126" s="38">
        <f>IF(AG126="1",H126,0)</f>
        <v>0</v>
      </c>
      <c r="S126" s="38">
        <f>IF(AG126="1",I126,0)</f>
        <v>0</v>
      </c>
      <c r="T126" s="38">
        <f>IF(AG126="7",H126,0)</f>
        <v>0</v>
      </c>
      <c r="U126" s="38">
        <f>IF(AG126="7",I126,0)</f>
        <v>0</v>
      </c>
      <c r="V126" s="38">
        <f>IF(AG126="2",H126,0)</f>
        <v>16342.39999999999</v>
      </c>
      <c r="W126" s="38">
        <f>IF(AG126="2",I126,0)</f>
        <v>23492.200000000008</v>
      </c>
      <c r="X126" s="38">
        <f>IF(AG126="0",J126,0)</f>
        <v>0</v>
      </c>
      <c r="Y126" s="57" t="s">
        <v>82</v>
      </c>
      <c r="Z126" s="62">
        <f>IF(AD126=0,J126,0)</f>
        <v>0</v>
      </c>
      <c r="AA126" s="62">
        <f>IF(AD126=15,J126,0)</f>
        <v>0</v>
      </c>
      <c r="AB126" s="62">
        <f>IF(AD126=21,J126,0)</f>
        <v>39834.6</v>
      </c>
      <c r="AD126" s="38">
        <v>21</v>
      </c>
      <c r="AE126" s="38">
        <f>G126*0.41025641025641</f>
        <v>79.99999999999996</v>
      </c>
      <c r="AF126" s="38">
        <f>G126*(1-0.41025641025641)</f>
        <v>115.00000000000004</v>
      </c>
      <c r="AG126" s="60" t="s">
        <v>159</v>
      </c>
      <c r="AM126" s="38">
        <f>F126*AE126</f>
        <v>16342.39999999999</v>
      </c>
      <c r="AN126" s="38">
        <f>F126*AF126</f>
        <v>23492.200000000008</v>
      </c>
      <c r="AO126" s="61" t="s">
        <v>377</v>
      </c>
      <c r="AP126" s="61" t="s">
        <v>378</v>
      </c>
      <c r="AQ126" s="57" t="s">
        <v>379</v>
      </c>
      <c r="AS126" s="38">
        <f>AM126+AN126</f>
        <v>39834.6</v>
      </c>
      <c r="AT126" s="38">
        <f>G126/(100-AU126)*100</f>
        <v>195</v>
      </c>
      <c r="AU126" s="38">
        <v>0</v>
      </c>
      <c r="AV126" s="38">
        <f>L126</f>
        <v>0</v>
      </c>
    </row>
    <row r="127" spans="4:6" ht="12.75">
      <c r="D127" s="66" t="s">
        <v>356</v>
      </c>
      <c r="F127" s="67">
        <v>52.8</v>
      </c>
    </row>
    <row r="128" spans="4:6" ht="12.75">
      <c r="D128" s="66" t="s">
        <v>357</v>
      </c>
      <c r="F128" s="67">
        <v>114.9</v>
      </c>
    </row>
    <row r="129" spans="4:6" ht="12.75">
      <c r="D129" s="66" t="s">
        <v>358</v>
      </c>
      <c r="F129" s="67">
        <v>36.58</v>
      </c>
    </row>
    <row r="130" spans="1:48" ht="12.75">
      <c r="A130" s="46" t="s">
        <v>384</v>
      </c>
      <c r="B130" s="46" t="s">
        <v>82</v>
      </c>
      <c r="C130" s="46" t="s">
        <v>347</v>
      </c>
      <c r="D130" s="46" t="s">
        <v>359</v>
      </c>
      <c r="E130" s="46" t="s">
        <v>303</v>
      </c>
      <c r="F130" s="62">
        <v>205</v>
      </c>
      <c r="G130" s="62">
        <v>57.2</v>
      </c>
      <c r="H130" s="62">
        <f>F130*AE130</f>
        <v>2050.0000000000023</v>
      </c>
      <c r="I130" s="62">
        <f>J130-H130</f>
        <v>9675.999999999998</v>
      </c>
      <c r="J130" s="62">
        <f>F130*G130</f>
        <v>11726</v>
      </c>
      <c r="K130" s="62">
        <v>0</v>
      </c>
      <c r="L130" s="62">
        <f>F130*K130</f>
        <v>0</v>
      </c>
      <c r="M130" s="60"/>
      <c r="P130" s="38">
        <f>IF(AG130="5",J130,0)</f>
        <v>0</v>
      </c>
      <c r="R130" s="38">
        <f>IF(AG130="1",H130,0)</f>
        <v>0</v>
      </c>
      <c r="S130" s="38">
        <f>IF(AG130="1",I130,0)</f>
        <v>0</v>
      </c>
      <c r="T130" s="38">
        <f>IF(AG130="7",H130,0)</f>
        <v>0</v>
      </c>
      <c r="U130" s="38">
        <f>IF(AG130="7",I130,0)</f>
        <v>0</v>
      </c>
      <c r="V130" s="38">
        <f>IF(AG130="2",H130,0)</f>
        <v>2050.0000000000023</v>
      </c>
      <c r="W130" s="38">
        <f>IF(AG130="2",I130,0)</f>
        <v>9675.999999999998</v>
      </c>
      <c r="X130" s="38">
        <f>IF(AG130="0",J130,0)</f>
        <v>0</v>
      </c>
      <c r="Y130" s="57" t="s">
        <v>82</v>
      </c>
      <c r="Z130" s="62">
        <f>IF(AD130=0,J130,0)</f>
        <v>0</v>
      </c>
      <c r="AA130" s="62">
        <f>IF(AD130=15,J130,0)</f>
        <v>0</v>
      </c>
      <c r="AB130" s="62">
        <f>IF(AD130=21,J130,0)</f>
        <v>11726</v>
      </c>
      <c r="AD130" s="38">
        <v>21</v>
      </c>
      <c r="AE130" s="38">
        <f>G130*0.174825174825175</f>
        <v>10.00000000000001</v>
      </c>
      <c r="AF130" s="38">
        <f>G130*(1-0.174825174825175)</f>
        <v>47.19999999999999</v>
      </c>
      <c r="AG130" s="60" t="s">
        <v>159</v>
      </c>
      <c r="AM130" s="38">
        <f>F130*AE130</f>
        <v>2050.0000000000023</v>
      </c>
      <c r="AN130" s="38">
        <f>F130*AF130</f>
        <v>9675.999999999998</v>
      </c>
      <c r="AO130" s="61" t="s">
        <v>377</v>
      </c>
      <c r="AP130" s="61" t="s">
        <v>378</v>
      </c>
      <c r="AQ130" s="57" t="s">
        <v>379</v>
      </c>
      <c r="AS130" s="38">
        <f>AM130+AN130</f>
        <v>11726</v>
      </c>
      <c r="AT130" s="38">
        <f>G130/(100-AU130)*100</f>
        <v>57.2</v>
      </c>
      <c r="AU130" s="38">
        <v>0</v>
      </c>
      <c r="AV130" s="38">
        <f>L130</f>
        <v>0</v>
      </c>
    </row>
    <row r="131" spans="4:6" ht="12.75">
      <c r="D131" s="66" t="s">
        <v>360</v>
      </c>
      <c r="F131" s="67">
        <v>205</v>
      </c>
    </row>
    <row r="132" spans="1:48" ht="12.75">
      <c r="A132" s="46" t="s">
        <v>385</v>
      </c>
      <c r="B132" s="46" t="s">
        <v>82</v>
      </c>
      <c r="C132" s="46" t="s">
        <v>348</v>
      </c>
      <c r="D132" s="46" t="s">
        <v>361</v>
      </c>
      <c r="E132" s="46" t="s">
        <v>107</v>
      </c>
      <c r="F132" s="62">
        <v>0.3</v>
      </c>
      <c r="G132" s="62">
        <v>20000</v>
      </c>
      <c r="H132" s="62">
        <f>F132*AE132</f>
        <v>4500</v>
      </c>
      <c r="I132" s="62">
        <f>J132-H132</f>
        <v>1500</v>
      </c>
      <c r="J132" s="62">
        <f>F132*G132</f>
        <v>6000</v>
      </c>
      <c r="K132" s="62">
        <v>0</v>
      </c>
      <c r="L132" s="62">
        <f>F132*K132</f>
        <v>0</v>
      </c>
      <c r="M132" s="60"/>
      <c r="P132" s="38">
        <f>IF(AG132="5",J132,0)</f>
        <v>0</v>
      </c>
      <c r="R132" s="38">
        <f>IF(AG132="1",H132,0)</f>
        <v>0</v>
      </c>
      <c r="S132" s="38">
        <f>IF(AG132="1",I132,0)</f>
        <v>0</v>
      </c>
      <c r="T132" s="38">
        <f>IF(AG132="7",H132,0)</f>
        <v>0</v>
      </c>
      <c r="U132" s="38">
        <f>IF(AG132="7",I132,0)</f>
        <v>0</v>
      </c>
      <c r="V132" s="38">
        <f>IF(AG132="2",H132,0)</f>
        <v>4500</v>
      </c>
      <c r="W132" s="38">
        <f>IF(AG132="2",I132,0)</f>
        <v>1500</v>
      </c>
      <c r="X132" s="38">
        <f>IF(AG132="0",J132,0)</f>
        <v>0</v>
      </c>
      <c r="Y132" s="57" t="s">
        <v>82</v>
      </c>
      <c r="Z132" s="62">
        <f>IF(AD132=0,J132,0)</f>
        <v>0</v>
      </c>
      <c r="AA132" s="62">
        <f>IF(AD132=15,J132,0)</f>
        <v>0</v>
      </c>
      <c r="AB132" s="62">
        <f>IF(AD132=21,J132,0)</f>
        <v>6000</v>
      </c>
      <c r="AD132" s="38">
        <v>21</v>
      </c>
      <c r="AE132" s="38">
        <f>G132*0.75</f>
        <v>15000</v>
      </c>
      <c r="AF132" s="38">
        <f>G132*(1-0.75)</f>
        <v>5000</v>
      </c>
      <c r="AG132" s="60" t="s">
        <v>159</v>
      </c>
      <c r="AM132" s="38">
        <f>F132*AE132</f>
        <v>4500</v>
      </c>
      <c r="AN132" s="38">
        <f>F132*AF132</f>
        <v>1500</v>
      </c>
      <c r="AO132" s="61" t="s">
        <v>377</v>
      </c>
      <c r="AP132" s="61" t="s">
        <v>378</v>
      </c>
      <c r="AQ132" s="57" t="s">
        <v>379</v>
      </c>
      <c r="AS132" s="38">
        <f>AM132+AN132</f>
        <v>6000</v>
      </c>
      <c r="AT132" s="38">
        <f>G132/(100-AU132)*100</f>
        <v>20000</v>
      </c>
      <c r="AU132" s="38">
        <v>0</v>
      </c>
      <c r="AV132" s="38">
        <f>L132</f>
        <v>0</v>
      </c>
    </row>
    <row r="133" spans="4:6" ht="12.75">
      <c r="D133" s="66" t="s">
        <v>362</v>
      </c>
      <c r="F133" s="67">
        <v>0.3</v>
      </c>
    </row>
    <row r="134" spans="1:48" ht="12.75">
      <c r="A134" s="46" t="s">
        <v>251</v>
      </c>
      <c r="B134" s="46" t="s">
        <v>82</v>
      </c>
      <c r="C134" s="46" t="s">
        <v>349</v>
      </c>
      <c r="D134" s="46" t="s">
        <v>363</v>
      </c>
      <c r="E134" s="46" t="s">
        <v>376</v>
      </c>
      <c r="F134" s="62">
        <v>20</v>
      </c>
      <c r="G134" s="62">
        <v>450</v>
      </c>
      <c r="H134" s="62">
        <f>F134*AE134</f>
        <v>999.999999999999</v>
      </c>
      <c r="I134" s="62">
        <f>J134-H134</f>
        <v>8000.000000000001</v>
      </c>
      <c r="J134" s="62">
        <f>F134*G134</f>
        <v>9000</v>
      </c>
      <c r="K134" s="62">
        <v>0</v>
      </c>
      <c r="L134" s="62">
        <f>F134*K134</f>
        <v>0</v>
      </c>
      <c r="M134" s="60"/>
      <c r="P134" s="38">
        <f>IF(AG134="5",J134,0)</f>
        <v>0</v>
      </c>
      <c r="R134" s="38">
        <f>IF(AG134="1",H134,0)</f>
        <v>0</v>
      </c>
      <c r="S134" s="38">
        <f>IF(AG134="1",I134,0)</f>
        <v>0</v>
      </c>
      <c r="T134" s="38">
        <f>IF(AG134="7",H134,0)</f>
        <v>0</v>
      </c>
      <c r="U134" s="38">
        <f>IF(AG134="7",I134,0)</f>
        <v>0</v>
      </c>
      <c r="V134" s="38">
        <f>IF(AG134="2",H134,0)</f>
        <v>999.999999999999</v>
      </c>
      <c r="W134" s="38">
        <f>IF(AG134="2",I134,0)</f>
        <v>8000.000000000001</v>
      </c>
      <c r="X134" s="38">
        <f>IF(AG134="0",J134,0)</f>
        <v>0</v>
      </c>
      <c r="Y134" s="57" t="s">
        <v>82</v>
      </c>
      <c r="Z134" s="62">
        <f>IF(AD134=0,J134,0)</f>
        <v>0</v>
      </c>
      <c r="AA134" s="62">
        <f>IF(AD134=15,J134,0)</f>
        <v>0</v>
      </c>
      <c r="AB134" s="62">
        <f>IF(AD134=21,J134,0)</f>
        <v>9000</v>
      </c>
      <c r="AD134" s="38">
        <v>21</v>
      </c>
      <c r="AE134" s="38">
        <f>G134*0.111111111111111</f>
        <v>49.99999999999995</v>
      </c>
      <c r="AF134" s="38">
        <f>G134*(1-0.111111111111111)</f>
        <v>400.00000000000006</v>
      </c>
      <c r="AG134" s="60" t="s">
        <v>159</v>
      </c>
      <c r="AM134" s="38">
        <f>F134*AE134</f>
        <v>999.999999999999</v>
      </c>
      <c r="AN134" s="38">
        <f>F134*AF134</f>
        <v>8000.000000000001</v>
      </c>
      <c r="AO134" s="61" t="s">
        <v>377</v>
      </c>
      <c r="AP134" s="61" t="s">
        <v>378</v>
      </c>
      <c r="AQ134" s="57" t="s">
        <v>379</v>
      </c>
      <c r="AS134" s="38">
        <f>AM134+AN134</f>
        <v>9000</v>
      </c>
      <c r="AT134" s="38">
        <f>G134/(100-AU134)*100</f>
        <v>450</v>
      </c>
      <c r="AU134" s="38">
        <v>0</v>
      </c>
      <c r="AV134" s="38">
        <f>L134</f>
        <v>0</v>
      </c>
    </row>
    <row r="135" spans="4:6" ht="12.75">
      <c r="D135" s="66" t="s">
        <v>364</v>
      </c>
      <c r="F135" s="67">
        <v>20</v>
      </c>
    </row>
    <row r="136" spans="1:48" ht="12.75">
      <c r="A136" s="46" t="s">
        <v>386</v>
      </c>
      <c r="B136" s="46" t="s">
        <v>82</v>
      </c>
      <c r="C136" s="46" t="s">
        <v>350</v>
      </c>
      <c r="D136" s="46" t="s">
        <v>365</v>
      </c>
      <c r="E136" s="46" t="s">
        <v>303</v>
      </c>
      <c r="F136" s="62">
        <v>265</v>
      </c>
      <c r="G136" s="62">
        <v>85</v>
      </c>
      <c r="H136" s="62">
        <f>F136*AE136</f>
        <v>3015.6999999999894</v>
      </c>
      <c r="I136" s="62">
        <f>J136-H136</f>
        <v>19509.30000000001</v>
      </c>
      <c r="J136" s="62">
        <f>F136*G136</f>
        <v>22525</v>
      </c>
      <c r="K136" s="62">
        <v>0</v>
      </c>
      <c r="L136" s="62">
        <f>F136*K136</f>
        <v>0</v>
      </c>
      <c r="M136" s="60"/>
      <c r="P136" s="38">
        <f>IF(AG136="5",J136,0)</f>
        <v>0</v>
      </c>
      <c r="R136" s="38">
        <f>IF(AG136="1",H136,0)</f>
        <v>0</v>
      </c>
      <c r="S136" s="38">
        <f>IF(AG136="1",I136,0)</f>
        <v>0</v>
      </c>
      <c r="T136" s="38">
        <f>IF(AG136="7",H136,0)</f>
        <v>0</v>
      </c>
      <c r="U136" s="38">
        <f>IF(AG136="7",I136,0)</f>
        <v>0</v>
      </c>
      <c r="V136" s="38">
        <f>IF(AG136="2",H136,0)</f>
        <v>3015.6999999999894</v>
      </c>
      <c r="W136" s="38">
        <f>IF(AG136="2",I136,0)</f>
        <v>19509.30000000001</v>
      </c>
      <c r="X136" s="38">
        <f>IF(AG136="0",J136,0)</f>
        <v>0</v>
      </c>
      <c r="Y136" s="57" t="s">
        <v>82</v>
      </c>
      <c r="Z136" s="62">
        <f>IF(AD136=0,J136,0)</f>
        <v>0</v>
      </c>
      <c r="AA136" s="62">
        <f>IF(AD136=15,J136,0)</f>
        <v>0</v>
      </c>
      <c r="AB136" s="62">
        <f>IF(AD136=21,J136,0)</f>
        <v>22525</v>
      </c>
      <c r="AD136" s="38">
        <v>21</v>
      </c>
      <c r="AE136" s="38">
        <f>G136*0.133882352941176</f>
        <v>11.37999999999996</v>
      </c>
      <c r="AF136" s="38">
        <f>G136*(1-0.133882352941176)</f>
        <v>73.62000000000003</v>
      </c>
      <c r="AG136" s="60" t="s">
        <v>159</v>
      </c>
      <c r="AM136" s="38">
        <f>F136*AE136</f>
        <v>3015.6999999999894</v>
      </c>
      <c r="AN136" s="38">
        <f>F136*AF136</f>
        <v>19509.30000000001</v>
      </c>
      <c r="AO136" s="61" t="s">
        <v>377</v>
      </c>
      <c r="AP136" s="61" t="s">
        <v>378</v>
      </c>
      <c r="AQ136" s="57" t="s">
        <v>379</v>
      </c>
      <c r="AS136" s="38">
        <f>AM136+AN136</f>
        <v>22525</v>
      </c>
      <c r="AT136" s="38">
        <f>G136/(100-AU136)*100</f>
        <v>85</v>
      </c>
      <c r="AU136" s="38">
        <v>0</v>
      </c>
      <c r="AV136" s="38">
        <f>L136</f>
        <v>0</v>
      </c>
    </row>
    <row r="137" spans="4:6" ht="12.75">
      <c r="D137" s="66" t="s">
        <v>366</v>
      </c>
      <c r="F137" s="67">
        <v>195</v>
      </c>
    </row>
    <row r="138" spans="4:6" ht="12.75">
      <c r="D138" s="66" t="s">
        <v>367</v>
      </c>
      <c r="F138" s="67">
        <v>70</v>
      </c>
    </row>
    <row r="139" spans="1:48" ht="12.75">
      <c r="A139" s="46" t="s">
        <v>387</v>
      </c>
      <c r="B139" s="46" t="s">
        <v>82</v>
      </c>
      <c r="C139" s="46" t="s">
        <v>351</v>
      </c>
      <c r="D139" s="46" t="s">
        <v>368</v>
      </c>
      <c r="E139" s="46" t="s">
        <v>303</v>
      </c>
      <c r="F139" s="62">
        <v>312</v>
      </c>
      <c r="G139" s="62">
        <v>45</v>
      </c>
      <c r="H139" s="62">
        <f>F139*AE139</f>
        <v>0</v>
      </c>
      <c r="I139" s="62">
        <f>J139-H139</f>
        <v>14040</v>
      </c>
      <c r="J139" s="62">
        <f>F139*G139</f>
        <v>14040</v>
      </c>
      <c r="K139" s="62">
        <v>0</v>
      </c>
      <c r="L139" s="62">
        <f>F139*K139</f>
        <v>0</v>
      </c>
      <c r="M139" s="60"/>
      <c r="P139" s="38">
        <f>IF(AG139="5",J139,0)</f>
        <v>0</v>
      </c>
      <c r="R139" s="38">
        <f>IF(AG139="1",H139,0)</f>
        <v>0</v>
      </c>
      <c r="S139" s="38">
        <f>IF(AG139="1",I139,0)</f>
        <v>0</v>
      </c>
      <c r="T139" s="38">
        <f>IF(AG139="7",H139,0)</f>
        <v>0</v>
      </c>
      <c r="U139" s="38">
        <f>IF(AG139="7",I139,0)</f>
        <v>0</v>
      </c>
      <c r="V139" s="38">
        <f>IF(AG139="2",H139,0)</f>
        <v>0</v>
      </c>
      <c r="W139" s="38">
        <f>IF(AG139="2",I139,0)</f>
        <v>14040</v>
      </c>
      <c r="X139" s="38">
        <f>IF(AG139="0",J139,0)</f>
        <v>0</v>
      </c>
      <c r="Y139" s="57" t="s">
        <v>82</v>
      </c>
      <c r="Z139" s="62">
        <f>IF(AD139=0,J139,0)</f>
        <v>0</v>
      </c>
      <c r="AA139" s="62">
        <f>IF(AD139=15,J139,0)</f>
        <v>0</v>
      </c>
      <c r="AB139" s="62">
        <f>IF(AD139=21,J139,0)</f>
        <v>14040</v>
      </c>
      <c r="AD139" s="38">
        <v>21</v>
      </c>
      <c r="AE139" s="38">
        <f>G139*0</f>
        <v>0</v>
      </c>
      <c r="AF139" s="38">
        <f>G139*(1-0)</f>
        <v>45</v>
      </c>
      <c r="AG139" s="60" t="s">
        <v>159</v>
      </c>
      <c r="AM139" s="38">
        <f>F139*AE139</f>
        <v>0</v>
      </c>
      <c r="AN139" s="38">
        <f>F139*AF139</f>
        <v>14040</v>
      </c>
      <c r="AO139" s="61" t="s">
        <v>377</v>
      </c>
      <c r="AP139" s="61" t="s">
        <v>378</v>
      </c>
      <c r="AQ139" s="57" t="s">
        <v>379</v>
      </c>
      <c r="AS139" s="38">
        <f>AM139+AN139</f>
        <v>14040</v>
      </c>
      <c r="AT139" s="38">
        <f>G139/(100-AU139)*100</f>
        <v>45</v>
      </c>
      <c r="AU139" s="38">
        <v>0</v>
      </c>
      <c r="AV139" s="38">
        <f>L139</f>
        <v>0</v>
      </c>
    </row>
    <row r="140" spans="4:6" ht="12.75">
      <c r="D140" s="66" t="s">
        <v>369</v>
      </c>
      <c r="F140" s="67">
        <v>312</v>
      </c>
    </row>
    <row r="141" spans="1:37" ht="12.75">
      <c r="A141" s="45"/>
      <c r="B141" s="50" t="s">
        <v>82</v>
      </c>
      <c r="C141" s="50" t="s">
        <v>142</v>
      </c>
      <c r="D141" s="50" t="s">
        <v>157</v>
      </c>
      <c r="E141" s="45" t="s">
        <v>77</v>
      </c>
      <c r="F141" s="45" t="s">
        <v>77</v>
      </c>
      <c r="G141" s="45" t="s">
        <v>77</v>
      </c>
      <c r="H141" s="64">
        <f>SUM(H142:H147)</f>
        <v>0</v>
      </c>
      <c r="I141" s="64">
        <f>SUM(I142:I147)</f>
        <v>4481.99</v>
      </c>
      <c r="J141" s="64">
        <f>H141+I141</f>
        <v>4481.99</v>
      </c>
      <c r="K141" s="57"/>
      <c r="L141" s="64">
        <f>SUM(L142:L147)</f>
        <v>0</v>
      </c>
      <c r="M141" s="57"/>
      <c r="Y141" s="57" t="s">
        <v>82</v>
      </c>
      <c r="AI141" s="64">
        <f>SUM(Z142:Z147)</f>
        <v>0</v>
      </c>
      <c r="AJ141" s="64">
        <f>SUM(AA142:AA147)</f>
        <v>0</v>
      </c>
      <c r="AK141" s="64">
        <f>SUM(AB142:AB147)</f>
        <v>4481.99</v>
      </c>
    </row>
    <row r="142" spans="1:48" ht="12.75">
      <c r="A142" s="46" t="s">
        <v>388</v>
      </c>
      <c r="B142" s="46" t="s">
        <v>82</v>
      </c>
      <c r="C142" s="46" t="s">
        <v>352</v>
      </c>
      <c r="D142" s="46" t="s">
        <v>370</v>
      </c>
      <c r="E142" s="46" t="s">
        <v>307</v>
      </c>
      <c r="F142" s="62">
        <v>1</v>
      </c>
      <c r="G142" s="62">
        <v>591.99</v>
      </c>
      <c r="H142" s="62">
        <f>F142*AE142</f>
        <v>0</v>
      </c>
      <c r="I142" s="62">
        <f>J142-H142</f>
        <v>591.99</v>
      </c>
      <c r="J142" s="62">
        <f>F142*G142</f>
        <v>591.99</v>
      </c>
      <c r="K142" s="62">
        <v>0</v>
      </c>
      <c r="L142" s="62">
        <f>F142*K142</f>
        <v>0</v>
      </c>
      <c r="M142" s="60" t="s">
        <v>308</v>
      </c>
      <c r="P142" s="38">
        <f>IF(AG142="5",J142,0)</f>
        <v>591.99</v>
      </c>
      <c r="R142" s="38">
        <f>IF(AG142="1",H142,0)</f>
        <v>0</v>
      </c>
      <c r="S142" s="38">
        <f>IF(AG142="1",I142,0)</f>
        <v>0</v>
      </c>
      <c r="T142" s="38">
        <f>IF(AG142="7",H142,0)</f>
        <v>0</v>
      </c>
      <c r="U142" s="38">
        <f>IF(AG142="7",I142,0)</f>
        <v>0</v>
      </c>
      <c r="V142" s="38">
        <f>IF(AG142="2",H142,0)</f>
        <v>0</v>
      </c>
      <c r="W142" s="38">
        <f>IF(AG142="2",I142,0)</f>
        <v>0</v>
      </c>
      <c r="X142" s="38">
        <f>IF(AG142="0",J142,0)</f>
        <v>0</v>
      </c>
      <c r="Y142" s="57" t="s">
        <v>82</v>
      </c>
      <c r="Z142" s="62">
        <f>IF(AD142=0,J142,0)</f>
        <v>0</v>
      </c>
      <c r="AA142" s="62">
        <f>IF(AD142=15,J142,0)</f>
        <v>0</v>
      </c>
      <c r="AB142" s="62">
        <f>IF(AD142=21,J142,0)</f>
        <v>591.99</v>
      </c>
      <c r="AD142" s="38">
        <v>21</v>
      </c>
      <c r="AE142" s="38">
        <f>G142*0</f>
        <v>0</v>
      </c>
      <c r="AF142" s="38">
        <f>G142*(1-0)</f>
        <v>591.99</v>
      </c>
      <c r="AG142" s="60" t="s">
        <v>162</v>
      </c>
      <c r="AM142" s="38">
        <f>F142*AE142</f>
        <v>0</v>
      </c>
      <c r="AN142" s="38">
        <f>F142*AF142</f>
        <v>591.99</v>
      </c>
      <c r="AO142" s="61" t="s">
        <v>323</v>
      </c>
      <c r="AP142" s="61" t="s">
        <v>378</v>
      </c>
      <c r="AQ142" s="57" t="s">
        <v>379</v>
      </c>
      <c r="AS142" s="38">
        <f>AM142+AN142</f>
        <v>591.99</v>
      </c>
      <c r="AT142" s="38">
        <f>G142/(100-AU142)*100</f>
        <v>591.99</v>
      </c>
      <c r="AU142" s="38">
        <v>0</v>
      </c>
      <c r="AV142" s="38">
        <f>L142</f>
        <v>0</v>
      </c>
    </row>
    <row r="143" spans="4:6" ht="12.75">
      <c r="D143" s="66" t="s">
        <v>371</v>
      </c>
      <c r="F143" s="67">
        <v>0.5</v>
      </c>
    </row>
    <row r="144" spans="4:6" ht="12.75">
      <c r="D144" s="66" t="s">
        <v>372</v>
      </c>
      <c r="F144" s="67">
        <v>0.5</v>
      </c>
    </row>
    <row r="145" spans="1:48" ht="12.75">
      <c r="A145" s="46" t="s">
        <v>389</v>
      </c>
      <c r="B145" s="46" t="s">
        <v>82</v>
      </c>
      <c r="C145" s="46" t="s">
        <v>353</v>
      </c>
      <c r="D145" s="46" t="s">
        <v>373</v>
      </c>
      <c r="E145" s="46" t="s">
        <v>307</v>
      </c>
      <c r="F145" s="62">
        <v>10</v>
      </c>
      <c r="G145" s="62">
        <v>139</v>
      </c>
      <c r="H145" s="62">
        <f>F145*AE145</f>
        <v>0</v>
      </c>
      <c r="I145" s="62">
        <f>J145-H145</f>
        <v>1390</v>
      </c>
      <c r="J145" s="62">
        <f>F145*G145</f>
        <v>1390</v>
      </c>
      <c r="K145" s="62">
        <v>0</v>
      </c>
      <c r="L145" s="62">
        <f>F145*K145</f>
        <v>0</v>
      </c>
      <c r="M145" s="60" t="s">
        <v>308</v>
      </c>
      <c r="P145" s="38">
        <f>IF(AG145="5",J145,0)</f>
        <v>1390</v>
      </c>
      <c r="R145" s="38">
        <f>IF(AG145="1",H145,0)</f>
        <v>0</v>
      </c>
      <c r="S145" s="38">
        <f>IF(AG145="1",I145,0)</f>
        <v>0</v>
      </c>
      <c r="T145" s="38">
        <f>IF(AG145="7",H145,0)</f>
        <v>0</v>
      </c>
      <c r="U145" s="38">
        <f>IF(AG145="7",I145,0)</f>
        <v>0</v>
      </c>
      <c r="V145" s="38">
        <f>IF(AG145="2",H145,0)</f>
        <v>0</v>
      </c>
      <c r="W145" s="38">
        <f>IF(AG145="2",I145,0)</f>
        <v>0</v>
      </c>
      <c r="X145" s="38">
        <f>IF(AG145="0",J145,0)</f>
        <v>0</v>
      </c>
      <c r="Y145" s="57" t="s">
        <v>82</v>
      </c>
      <c r="Z145" s="62">
        <f>IF(AD145=0,J145,0)</f>
        <v>0</v>
      </c>
      <c r="AA145" s="62">
        <f>IF(AD145=15,J145,0)</f>
        <v>0</v>
      </c>
      <c r="AB145" s="62">
        <f>IF(AD145=21,J145,0)</f>
        <v>1390</v>
      </c>
      <c r="AD145" s="38">
        <v>21</v>
      </c>
      <c r="AE145" s="38">
        <f>G145*0</f>
        <v>0</v>
      </c>
      <c r="AF145" s="38">
        <f>G145*(1-0)</f>
        <v>139</v>
      </c>
      <c r="AG145" s="60" t="s">
        <v>162</v>
      </c>
      <c r="AM145" s="38">
        <f>F145*AE145</f>
        <v>0</v>
      </c>
      <c r="AN145" s="38">
        <f>F145*AF145</f>
        <v>1390</v>
      </c>
      <c r="AO145" s="61" t="s">
        <v>323</v>
      </c>
      <c r="AP145" s="61" t="s">
        <v>378</v>
      </c>
      <c r="AQ145" s="57" t="s">
        <v>379</v>
      </c>
      <c r="AS145" s="38">
        <f>AM145+AN145</f>
        <v>1390</v>
      </c>
      <c r="AT145" s="38">
        <f>G145/(100-AU145)*100</f>
        <v>139</v>
      </c>
      <c r="AU145" s="38">
        <v>0</v>
      </c>
      <c r="AV145" s="38">
        <f>L145</f>
        <v>0</v>
      </c>
    </row>
    <row r="146" spans="4:6" ht="12.75">
      <c r="D146" s="66" t="s">
        <v>374</v>
      </c>
      <c r="F146" s="67">
        <v>10</v>
      </c>
    </row>
    <row r="147" spans="1:48" ht="12.75">
      <c r="A147" s="46" t="s">
        <v>58</v>
      </c>
      <c r="B147" s="46" t="s">
        <v>82</v>
      </c>
      <c r="C147" s="46" t="s">
        <v>354</v>
      </c>
      <c r="D147" s="46" t="s">
        <v>375</v>
      </c>
      <c r="E147" s="46" t="s">
        <v>307</v>
      </c>
      <c r="F147" s="62">
        <v>1</v>
      </c>
      <c r="G147" s="62">
        <v>2500</v>
      </c>
      <c r="H147" s="62">
        <f>F147*AE147</f>
        <v>0</v>
      </c>
      <c r="I147" s="62">
        <f>J147-H147</f>
        <v>2500</v>
      </c>
      <c r="J147" s="62">
        <f>F147*G147</f>
        <v>2500</v>
      </c>
      <c r="K147" s="62">
        <v>0</v>
      </c>
      <c r="L147" s="62">
        <f>F147*K147</f>
        <v>0</v>
      </c>
      <c r="M147" s="60" t="s">
        <v>308</v>
      </c>
      <c r="P147" s="38">
        <f>IF(AG147="5",J147,0)</f>
        <v>2500</v>
      </c>
      <c r="R147" s="38">
        <f>IF(AG147="1",H147,0)</f>
        <v>0</v>
      </c>
      <c r="S147" s="38">
        <f>IF(AG147="1",I147,0)</f>
        <v>0</v>
      </c>
      <c r="T147" s="38">
        <f>IF(AG147="7",H147,0)</f>
        <v>0</v>
      </c>
      <c r="U147" s="38">
        <f>IF(AG147="7",I147,0)</f>
        <v>0</v>
      </c>
      <c r="V147" s="38">
        <f>IF(AG147="2",H147,0)</f>
        <v>0</v>
      </c>
      <c r="W147" s="38">
        <f>IF(AG147="2",I147,0)</f>
        <v>0</v>
      </c>
      <c r="X147" s="38">
        <f>IF(AG147="0",J147,0)</f>
        <v>0</v>
      </c>
      <c r="Y147" s="57" t="s">
        <v>82</v>
      </c>
      <c r="Z147" s="62">
        <f>IF(AD147=0,J147,0)</f>
        <v>0</v>
      </c>
      <c r="AA147" s="62">
        <f>IF(AD147=15,J147,0)</f>
        <v>0</v>
      </c>
      <c r="AB147" s="62">
        <f>IF(AD147=21,J147,0)</f>
        <v>2500</v>
      </c>
      <c r="AD147" s="38">
        <v>21</v>
      </c>
      <c r="AE147" s="38">
        <f>G147*0</f>
        <v>0</v>
      </c>
      <c r="AF147" s="38">
        <f>G147*(1-0)</f>
        <v>2500</v>
      </c>
      <c r="AG147" s="60" t="s">
        <v>162</v>
      </c>
      <c r="AM147" s="38">
        <f>F147*AE147</f>
        <v>0</v>
      </c>
      <c r="AN147" s="38">
        <f>F147*AF147</f>
        <v>2500</v>
      </c>
      <c r="AO147" s="61" t="s">
        <v>323</v>
      </c>
      <c r="AP147" s="61" t="s">
        <v>378</v>
      </c>
      <c r="AQ147" s="57" t="s">
        <v>379</v>
      </c>
      <c r="AS147" s="38">
        <f>AM147+AN147</f>
        <v>2500</v>
      </c>
      <c r="AT147" s="38">
        <f>G147/(100-AU147)*100</f>
        <v>2500</v>
      </c>
      <c r="AU147" s="38">
        <v>0</v>
      </c>
      <c r="AV147" s="38">
        <f>L147</f>
        <v>0</v>
      </c>
    </row>
    <row r="148" spans="1:13" ht="12.75">
      <c r="A148" s="1"/>
      <c r="B148" s="1"/>
      <c r="C148" s="1"/>
      <c r="D148" s="51" t="s">
        <v>97</v>
      </c>
      <c r="E148" s="1"/>
      <c r="F148" s="53">
        <v>1</v>
      </c>
      <c r="G148" s="1"/>
      <c r="H148" s="1"/>
      <c r="I148" s="1"/>
      <c r="J148" s="1"/>
      <c r="K148" s="1"/>
      <c r="L148" s="1"/>
      <c r="M148" s="1"/>
    </row>
    <row r="149" spans="1:13" ht="12.75">
      <c r="A149" s="7"/>
      <c r="B149" s="7"/>
      <c r="C149" s="7"/>
      <c r="D149" s="7"/>
      <c r="E149" s="7"/>
      <c r="F149" s="7"/>
      <c r="G149" s="7"/>
      <c r="H149" s="419" t="s">
        <v>92</v>
      </c>
      <c r="I149" s="356"/>
      <c r="J149" s="41">
        <f>J13+J17+J22+J29+J40+J43+J63+J66+J69+J74+J77+J86+J102+J107+J112+J115+J121+J125+J141</f>
        <v>2940059.93974</v>
      </c>
      <c r="K149" s="7"/>
      <c r="L149" s="7"/>
      <c r="M149" s="7"/>
    </row>
    <row r="150" ht="11.25" customHeight="1">
      <c r="A150" s="33" t="s">
        <v>18</v>
      </c>
    </row>
    <row r="151" spans="1:13" ht="12.75">
      <c r="A151" s="362"/>
      <c r="B151" s="354"/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54"/>
    </row>
  </sheetData>
  <sheetProtection/>
  <mergeCells count="29">
    <mergeCell ref="H10:J10"/>
    <mergeCell ref="K10:L10"/>
    <mergeCell ref="H149:I149"/>
    <mergeCell ref="A151:M15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41"/>
  <sheetViews>
    <sheetView zoomScalePageLayoutView="0" workbookViewId="0" topLeftCell="A1">
      <selection activeCell="H39" sqref="H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7.57421875" style="0" customWidth="1"/>
    <col min="5" max="5" width="14.00390625" style="0" customWidth="1"/>
    <col min="6" max="6" width="22.8515625" style="0" customWidth="1"/>
    <col min="7" max="7" width="17.7109375" style="0" customWidth="1"/>
    <col min="8" max="8" width="17.140625" style="0" customWidth="1"/>
    <col min="9" max="9" width="22.8515625" style="0" customWidth="1"/>
  </cols>
  <sheetData>
    <row r="1" spans="1:9" ht="72.75" customHeight="1">
      <c r="A1" s="74"/>
      <c r="B1" s="1"/>
      <c r="C1" s="349" t="s">
        <v>72</v>
      </c>
      <c r="D1" s="350"/>
      <c r="E1" s="350"/>
      <c r="F1" s="350"/>
      <c r="G1" s="350"/>
      <c r="H1" s="350"/>
      <c r="I1" s="350"/>
    </row>
    <row r="2" spans="1:10" ht="12.75">
      <c r="A2" s="351" t="s">
        <v>0</v>
      </c>
      <c r="B2" s="352"/>
      <c r="C2" s="355" t="str">
        <f>'Stavební rozpočet'!D2</f>
        <v>MŠ Velký Borek, energeticky úsporné větrání</v>
      </c>
      <c r="D2" s="356"/>
      <c r="E2" s="358" t="s">
        <v>32</v>
      </c>
      <c r="F2" s="358" t="str">
        <f>'Stavební rozpočet'!J2</f>
        <v>Obec Velký Borek</v>
      </c>
      <c r="G2" s="352"/>
      <c r="H2" s="358" t="s">
        <v>52</v>
      </c>
      <c r="I2" s="359" t="s">
        <v>56</v>
      </c>
      <c r="J2" s="2"/>
    </row>
    <row r="3" spans="1:10" ht="12.75">
      <c r="A3" s="353"/>
      <c r="B3" s="354"/>
      <c r="C3" s="357"/>
      <c r="D3" s="357"/>
      <c r="E3" s="354"/>
      <c r="F3" s="354"/>
      <c r="G3" s="354"/>
      <c r="H3" s="354"/>
      <c r="I3" s="360"/>
      <c r="J3" s="2"/>
    </row>
    <row r="4" spans="1:10" ht="12.75">
      <c r="A4" s="361" t="s">
        <v>1</v>
      </c>
      <c r="B4" s="354"/>
      <c r="C4" s="362" t="str">
        <f>'Stavební rozpočet'!D4</f>
        <v>TZB - Technika prostředí - VZT řízené větrání s rekuperací, chlazení</v>
      </c>
      <c r="D4" s="354"/>
      <c r="E4" s="362" t="s">
        <v>33</v>
      </c>
      <c r="F4" s="362" t="str">
        <f>'Stavební rozpočet'!J4</f>
        <v>Ing. Jiří Šír - VISTA</v>
      </c>
      <c r="G4" s="354"/>
      <c r="H4" s="362" t="s">
        <v>52</v>
      </c>
      <c r="I4" s="363" t="s">
        <v>57</v>
      </c>
      <c r="J4" s="2"/>
    </row>
    <row r="5" spans="1:10" ht="12.75">
      <c r="A5" s="353"/>
      <c r="B5" s="354"/>
      <c r="C5" s="354"/>
      <c r="D5" s="354"/>
      <c r="E5" s="354"/>
      <c r="F5" s="354"/>
      <c r="G5" s="354"/>
      <c r="H5" s="354"/>
      <c r="I5" s="360"/>
      <c r="J5" s="2"/>
    </row>
    <row r="6" spans="1:10" ht="12.75">
      <c r="A6" s="361" t="s">
        <v>2</v>
      </c>
      <c r="B6" s="354"/>
      <c r="C6" s="362" t="str">
        <f>'Stavební rozpočet'!D6</f>
        <v>Školní  č.p. 226, Velký Borek</v>
      </c>
      <c r="D6" s="354"/>
      <c r="E6" s="362" t="s">
        <v>34</v>
      </c>
      <c r="F6" s="362" t="str">
        <f>'Stavební rozpočet'!J6</f>
        <v>Vzejde z výběrového řízení</v>
      </c>
      <c r="G6" s="354"/>
      <c r="H6" s="362" t="s">
        <v>52</v>
      </c>
      <c r="I6" s="363"/>
      <c r="J6" s="2"/>
    </row>
    <row r="7" spans="1:10" ht="12.75">
      <c r="A7" s="353"/>
      <c r="B7" s="354"/>
      <c r="C7" s="354"/>
      <c r="D7" s="354"/>
      <c r="E7" s="354"/>
      <c r="F7" s="354"/>
      <c r="G7" s="354"/>
      <c r="H7" s="354"/>
      <c r="I7" s="360"/>
      <c r="J7" s="2"/>
    </row>
    <row r="8" spans="1:10" ht="12.75">
      <c r="A8" s="361" t="s">
        <v>3</v>
      </c>
      <c r="B8" s="354"/>
      <c r="C8" s="362" t="str">
        <f>'Stavební rozpočet'!G4</f>
        <v> </v>
      </c>
      <c r="D8" s="354"/>
      <c r="E8" s="362" t="s">
        <v>35</v>
      </c>
      <c r="F8" s="388" t="s">
        <v>77</v>
      </c>
      <c r="G8" s="354"/>
      <c r="H8" s="364" t="s">
        <v>53</v>
      </c>
      <c r="I8" s="363" t="s">
        <v>58</v>
      </c>
      <c r="J8" s="2"/>
    </row>
    <row r="9" spans="1:10" ht="12.75">
      <c r="A9" s="353"/>
      <c r="B9" s="354"/>
      <c r="C9" s="354"/>
      <c r="D9" s="354"/>
      <c r="E9" s="354"/>
      <c r="F9" s="354"/>
      <c r="G9" s="354"/>
      <c r="H9" s="354"/>
      <c r="I9" s="360"/>
      <c r="J9" s="2"/>
    </row>
    <row r="10" spans="1:10" ht="12.75">
      <c r="A10" s="361" t="s">
        <v>4</v>
      </c>
      <c r="B10" s="354"/>
      <c r="C10" s="362">
        <f>'Stavební rozpočet'!D8</f>
        <v>8013189</v>
      </c>
      <c r="D10" s="354"/>
      <c r="E10" s="362" t="s">
        <v>36</v>
      </c>
      <c r="F10" s="362" t="str">
        <f>'Stavební rozpočet'!J8</f>
        <v>Ing. Jiří Šír</v>
      </c>
      <c r="G10" s="354"/>
      <c r="H10" s="364" t="s">
        <v>54</v>
      </c>
      <c r="I10" s="367">
        <f>'Krycí list rozpočtu'!I10:I11</f>
        <v>43221</v>
      </c>
      <c r="J10" s="2"/>
    </row>
    <row r="11" spans="1:10" ht="12.75">
      <c r="A11" s="365"/>
      <c r="B11" s="366"/>
      <c r="C11" s="366"/>
      <c r="D11" s="366"/>
      <c r="E11" s="366"/>
      <c r="F11" s="366"/>
      <c r="G11" s="366"/>
      <c r="H11" s="366"/>
      <c r="I11" s="389"/>
      <c r="J11" s="2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390" t="s">
        <v>59</v>
      </c>
      <c r="B13" s="391"/>
      <c r="C13" s="391"/>
      <c r="D13" s="391"/>
      <c r="E13" s="391"/>
      <c r="F13" s="20"/>
      <c r="G13" s="20"/>
      <c r="H13" s="20"/>
      <c r="I13" s="20"/>
    </row>
    <row r="14" spans="1:10" ht="12.75">
      <c r="A14" s="392" t="s">
        <v>60</v>
      </c>
      <c r="B14" s="393"/>
      <c r="C14" s="393"/>
      <c r="D14" s="393"/>
      <c r="E14" s="394"/>
      <c r="F14" s="21" t="s">
        <v>73</v>
      </c>
      <c r="G14" s="21" t="s">
        <v>74</v>
      </c>
      <c r="H14" s="21" t="s">
        <v>75</v>
      </c>
      <c r="I14" s="21" t="s">
        <v>73</v>
      </c>
      <c r="J14" s="17"/>
    </row>
    <row r="15" spans="1:10" ht="12.75">
      <c r="A15" s="395" t="s">
        <v>24</v>
      </c>
      <c r="B15" s="396"/>
      <c r="C15" s="396"/>
      <c r="D15" s="396"/>
      <c r="E15" s="397"/>
      <c r="F15" s="22">
        <v>0</v>
      </c>
      <c r="G15" s="25"/>
      <c r="H15" s="25"/>
      <c r="I15" s="22">
        <f>F15</f>
        <v>0</v>
      </c>
      <c r="J15" s="2"/>
    </row>
    <row r="16" spans="1:10" ht="12.75">
      <c r="A16" s="395" t="s">
        <v>25</v>
      </c>
      <c r="B16" s="396"/>
      <c r="C16" s="396"/>
      <c r="D16" s="396"/>
      <c r="E16" s="397"/>
      <c r="F16" s="22">
        <v>0</v>
      </c>
      <c r="G16" s="25"/>
      <c r="H16" s="25"/>
      <c r="I16" s="22">
        <f>F16</f>
        <v>0</v>
      </c>
      <c r="J16" s="2"/>
    </row>
    <row r="17" spans="1:10" ht="12.75">
      <c r="A17" s="398" t="s">
        <v>26</v>
      </c>
      <c r="B17" s="399"/>
      <c r="C17" s="399"/>
      <c r="D17" s="399"/>
      <c r="E17" s="400"/>
      <c r="F17" s="23">
        <v>0</v>
      </c>
      <c r="G17" s="26"/>
      <c r="H17" s="26"/>
      <c r="I17" s="23">
        <f>F17</f>
        <v>0</v>
      </c>
      <c r="J17" s="2"/>
    </row>
    <row r="18" spans="1:10" ht="12.75">
      <c r="A18" s="401" t="s">
        <v>61</v>
      </c>
      <c r="B18" s="402"/>
      <c r="C18" s="402"/>
      <c r="D18" s="402"/>
      <c r="E18" s="403"/>
      <c r="F18" s="24"/>
      <c r="G18" s="27"/>
      <c r="H18" s="27"/>
      <c r="I18" s="28">
        <f>SUM(I15:I17)</f>
        <v>0</v>
      </c>
      <c r="J18" s="17"/>
    </row>
    <row r="19" spans="1:9" ht="12.75">
      <c r="A19" s="19"/>
      <c r="B19" s="19"/>
      <c r="C19" s="19"/>
      <c r="D19" s="19"/>
      <c r="E19" s="19"/>
      <c r="F19" s="19"/>
      <c r="G19" s="19"/>
      <c r="H19" s="19"/>
      <c r="I19" s="19"/>
    </row>
    <row r="20" spans="1:10" ht="12.75">
      <c r="A20" s="392" t="s">
        <v>55</v>
      </c>
      <c r="B20" s="393"/>
      <c r="C20" s="393"/>
      <c r="D20" s="393"/>
      <c r="E20" s="394"/>
      <c r="F20" s="21" t="s">
        <v>73</v>
      </c>
      <c r="G20" s="21" t="s">
        <v>74</v>
      </c>
      <c r="H20" s="21" t="s">
        <v>75</v>
      </c>
      <c r="I20" s="21" t="s">
        <v>73</v>
      </c>
      <c r="J20" s="17"/>
    </row>
    <row r="21" spans="1:10" ht="12.75">
      <c r="A21" s="395" t="s">
        <v>39</v>
      </c>
      <c r="B21" s="396"/>
      <c r="C21" s="396"/>
      <c r="D21" s="396"/>
      <c r="E21" s="397"/>
      <c r="F21" s="25"/>
      <c r="G21" s="347"/>
      <c r="H21" s="22">
        <f>'Rozpočet - objekty'!K16</f>
        <v>0</v>
      </c>
      <c r="I21" s="22">
        <f>(G21/100)*H21</f>
        <v>0</v>
      </c>
      <c r="J21" s="2"/>
    </row>
    <row r="22" spans="1:10" ht="12.75">
      <c r="A22" s="395" t="s">
        <v>40</v>
      </c>
      <c r="B22" s="396"/>
      <c r="C22" s="396"/>
      <c r="D22" s="396"/>
      <c r="E22" s="397"/>
      <c r="F22" s="22">
        <v>0</v>
      </c>
      <c r="G22" s="25"/>
      <c r="H22" s="25"/>
      <c r="I22" s="22">
        <f>F22</f>
        <v>0</v>
      </c>
      <c r="J22" s="2"/>
    </row>
    <row r="23" spans="1:10" ht="12.75">
      <c r="A23" s="395" t="s">
        <v>41</v>
      </c>
      <c r="B23" s="396"/>
      <c r="C23" s="396"/>
      <c r="D23" s="396"/>
      <c r="E23" s="397"/>
      <c r="F23" s="22">
        <v>0</v>
      </c>
      <c r="G23" s="25"/>
      <c r="H23" s="25"/>
      <c r="I23" s="22">
        <f>F23</f>
        <v>0</v>
      </c>
      <c r="J23" s="2"/>
    </row>
    <row r="24" spans="1:10" ht="12.75">
      <c r="A24" s="395" t="s">
        <v>42</v>
      </c>
      <c r="B24" s="396"/>
      <c r="C24" s="396"/>
      <c r="D24" s="396"/>
      <c r="E24" s="397"/>
      <c r="F24" s="22">
        <v>0</v>
      </c>
      <c r="G24" s="25"/>
      <c r="H24" s="25"/>
      <c r="I24" s="22">
        <f>F24</f>
        <v>0</v>
      </c>
      <c r="J24" s="2"/>
    </row>
    <row r="25" spans="1:10" ht="12.75">
      <c r="A25" s="395" t="s">
        <v>43</v>
      </c>
      <c r="B25" s="396"/>
      <c r="C25" s="396"/>
      <c r="D25" s="396"/>
      <c r="E25" s="397"/>
      <c r="F25" s="22">
        <v>0</v>
      </c>
      <c r="G25" s="25"/>
      <c r="H25" s="25"/>
      <c r="I25" s="22">
        <f>F25</f>
        <v>0</v>
      </c>
      <c r="J25" s="2"/>
    </row>
    <row r="26" spans="1:10" ht="12.75">
      <c r="A26" s="398" t="s">
        <v>44</v>
      </c>
      <c r="B26" s="399"/>
      <c r="C26" s="399"/>
      <c r="D26" s="399"/>
      <c r="E26" s="400"/>
      <c r="F26" s="23">
        <v>0</v>
      </c>
      <c r="G26" s="26"/>
      <c r="H26" s="26"/>
      <c r="I26" s="23">
        <f>F26</f>
        <v>0</v>
      </c>
      <c r="J26" s="2"/>
    </row>
    <row r="27" spans="1:10" ht="12.75">
      <c r="A27" s="401" t="s">
        <v>62</v>
      </c>
      <c r="B27" s="402"/>
      <c r="C27" s="402"/>
      <c r="D27" s="402"/>
      <c r="E27" s="403"/>
      <c r="F27" s="24"/>
      <c r="G27" s="27"/>
      <c r="H27" s="27"/>
      <c r="I27" s="28">
        <f>SUM(I21:I26)</f>
        <v>0</v>
      </c>
      <c r="J27" s="17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5" customHeight="1">
      <c r="A29" s="404" t="s">
        <v>63</v>
      </c>
      <c r="B29" s="405"/>
      <c r="C29" s="405"/>
      <c r="D29" s="405"/>
      <c r="E29" s="406"/>
      <c r="F29" s="407">
        <f>I18+I27</f>
        <v>0</v>
      </c>
      <c r="G29" s="408"/>
      <c r="H29" s="408"/>
      <c r="I29" s="409"/>
      <c r="J29" s="17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3" spans="1:9" ht="15" customHeight="1">
      <c r="A33" s="390" t="s">
        <v>64</v>
      </c>
      <c r="B33" s="391"/>
      <c r="C33" s="391"/>
      <c r="D33" s="391"/>
      <c r="E33" s="391"/>
      <c r="F33" s="20"/>
      <c r="G33" s="20"/>
      <c r="H33" s="20"/>
      <c r="I33" s="20"/>
    </row>
    <row r="34" spans="1:10" ht="12.75">
      <c r="A34" s="392" t="s">
        <v>65</v>
      </c>
      <c r="B34" s="393"/>
      <c r="C34" s="393"/>
      <c r="D34" s="393"/>
      <c r="E34" s="394"/>
      <c r="F34" s="21" t="s">
        <v>73</v>
      </c>
      <c r="G34" s="21" t="s">
        <v>74</v>
      </c>
      <c r="H34" s="21" t="s">
        <v>75</v>
      </c>
      <c r="I34" s="21" t="s">
        <v>73</v>
      </c>
      <c r="J34" s="17"/>
    </row>
    <row r="35" spans="1:10" ht="12.75">
      <c r="A35" s="395" t="s">
        <v>66</v>
      </c>
      <c r="B35" s="396"/>
      <c r="C35" s="396"/>
      <c r="D35" s="396"/>
      <c r="E35" s="397"/>
      <c r="F35" s="347"/>
      <c r="G35" s="25"/>
      <c r="H35" s="25"/>
      <c r="I35" s="22">
        <f>F35</f>
        <v>0</v>
      </c>
      <c r="J35" s="2"/>
    </row>
    <row r="36" spans="1:10" ht="12.75">
      <c r="A36" s="395" t="s">
        <v>67</v>
      </c>
      <c r="B36" s="396"/>
      <c r="C36" s="396"/>
      <c r="D36" s="396"/>
      <c r="E36" s="397"/>
      <c r="F36" s="347"/>
      <c r="G36" s="25"/>
      <c r="H36" s="25"/>
      <c r="I36" s="22">
        <f>F36</f>
        <v>0</v>
      </c>
      <c r="J36" s="2"/>
    </row>
    <row r="37" spans="1:10" ht="12.75">
      <c r="A37" s="395" t="s">
        <v>68</v>
      </c>
      <c r="B37" s="396"/>
      <c r="C37" s="396"/>
      <c r="D37" s="396"/>
      <c r="E37" s="397"/>
      <c r="F37" s="347"/>
      <c r="G37" s="25"/>
      <c r="H37" s="25"/>
      <c r="I37" s="22">
        <f>F37</f>
        <v>0</v>
      </c>
      <c r="J37" s="2"/>
    </row>
    <row r="38" spans="1:10" ht="12.75">
      <c r="A38" s="395" t="s">
        <v>69</v>
      </c>
      <c r="B38" s="396"/>
      <c r="C38" s="396"/>
      <c r="D38" s="396"/>
      <c r="E38" s="397"/>
      <c r="F38" s="347"/>
      <c r="G38" s="25"/>
      <c r="H38" s="25"/>
      <c r="I38" s="22">
        <f>F38</f>
        <v>0</v>
      </c>
      <c r="J38" s="2"/>
    </row>
    <row r="39" spans="1:10" ht="12.75">
      <c r="A39" s="398" t="s">
        <v>70</v>
      </c>
      <c r="B39" s="399"/>
      <c r="C39" s="399"/>
      <c r="D39" s="399"/>
      <c r="E39" s="400"/>
      <c r="F39" s="348"/>
      <c r="G39" s="26"/>
      <c r="H39" s="26"/>
      <c r="I39" s="23">
        <f>F39</f>
        <v>0</v>
      </c>
      <c r="J39" s="2"/>
    </row>
    <row r="40" spans="1:10" ht="12.75">
      <c r="A40" s="401" t="s">
        <v>71</v>
      </c>
      <c r="B40" s="402"/>
      <c r="C40" s="402"/>
      <c r="D40" s="402"/>
      <c r="E40" s="403"/>
      <c r="F40" s="24"/>
      <c r="G40" s="27"/>
      <c r="H40" s="27"/>
      <c r="I40" s="28">
        <f>SUM(I35:I39)</f>
        <v>0</v>
      </c>
      <c r="J40" s="17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55">
    <mergeCell ref="A35:E35"/>
    <mergeCell ref="A36:E36"/>
    <mergeCell ref="A37:E37"/>
    <mergeCell ref="A38:E38"/>
    <mergeCell ref="A39:E39"/>
    <mergeCell ref="A40:E40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18"/>
  <sheetViews>
    <sheetView zoomScalePageLayoutView="0" workbookViewId="0" topLeftCell="A1">
      <pane ySplit="11" topLeftCell="A12" activePane="bottomLeft" state="frozen"/>
      <selection pane="topLeft" activeCell="H39" sqref="H39"/>
      <selection pane="bottomLeft" activeCell="H39" sqref="H39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72.75" customHeight="1">
      <c r="A1" s="410" t="s">
        <v>76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3" ht="12.75">
      <c r="A2" s="351" t="s">
        <v>0</v>
      </c>
      <c r="B2" s="352"/>
      <c r="C2" s="352"/>
      <c r="D2" s="355" t="str">
        <f>'Stavební rozpočet'!D2</f>
        <v>MŠ Velký Borek, energeticky úsporné větrání</v>
      </c>
      <c r="E2" s="358" t="s">
        <v>88</v>
      </c>
      <c r="F2" s="352"/>
      <c r="G2" s="412" t="s">
        <v>77</v>
      </c>
      <c r="H2" s="352"/>
      <c r="I2" s="358" t="s">
        <v>32</v>
      </c>
      <c r="J2" s="358" t="str">
        <f>'Stavební rozpočet'!J2</f>
        <v>Obec Velký Borek</v>
      </c>
      <c r="K2" s="352"/>
      <c r="L2" s="413"/>
      <c r="M2" s="2"/>
    </row>
    <row r="3" spans="1:13" ht="12.75">
      <c r="A3" s="353"/>
      <c r="B3" s="354"/>
      <c r="C3" s="354"/>
      <c r="D3" s="357"/>
      <c r="E3" s="354"/>
      <c r="F3" s="354"/>
      <c r="G3" s="354"/>
      <c r="H3" s="354"/>
      <c r="I3" s="354"/>
      <c r="J3" s="354"/>
      <c r="K3" s="354"/>
      <c r="L3" s="360"/>
      <c r="M3" s="2"/>
    </row>
    <row r="4" spans="1:13" ht="12.75">
      <c r="A4" s="361" t="s">
        <v>1</v>
      </c>
      <c r="B4" s="354"/>
      <c r="C4" s="354"/>
      <c r="D4" s="362" t="str">
        <f>'Stavební rozpočet'!D4</f>
        <v>TZB - Technika prostředí - VZT řízené větrání s rekuperací, chlazení</v>
      </c>
      <c r="E4" s="362" t="s">
        <v>3</v>
      </c>
      <c r="F4" s="354"/>
      <c r="G4" s="362" t="str">
        <f>'Stavební rozpočet'!G4</f>
        <v> </v>
      </c>
      <c r="H4" s="354"/>
      <c r="I4" s="362" t="s">
        <v>33</v>
      </c>
      <c r="J4" s="362" t="str">
        <f>'Stavební rozpočet'!J4</f>
        <v>Ing. Jiří Šír - VISTA</v>
      </c>
      <c r="K4" s="354"/>
      <c r="L4" s="360"/>
      <c r="M4" s="2"/>
    </row>
    <row r="5" spans="1:13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60"/>
      <c r="M5" s="2"/>
    </row>
    <row r="6" spans="1:13" ht="12.75">
      <c r="A6" s="361" t="s">
        <v>2</v>
      </c>
      <c r="B6" s="354"/>
      <c r="C6" s="354"/>
      <c r="D6" s="362" t="str">
        <f>'Stavební rozpočet'!D6</f>
        <v>Školní  č.p. 226, Velký Borek</v>
      </c>
      <c r="E6" s="362" t="s">
        <v>35</v>
      </c>
      <c r="F6" s="354"/>
      <c r="G6" s="388" t="s">
        <v>77</v>
      </c>
      <c r="H6" s="354"/>
      <c r="I6" s="362" t="s">
        <v>34</v>
      </c>
      <c r="J6" s="362" t="str">
        <f>'Stavební rozpočet'!J6</f>
        <v>Vzejde z výběrového řízení</v>
      </c>
      <c r="K6" s="354"/>
      <c r="L6" s="360"/>
      <c r="M6" s="2"/>
    </row>
    <row r="7" spans="1:13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60"/>
      <c r="M7" s="2"/>
    </row>
    <row r="8" spans="1:13" ht="12.75">
      <c r="A8" s="361" t="s">
        <v>4</v>
      </c>
      <c r="B8" s="354"/>
      <c r="C8" s="354"/>
      <c r="D8" s="362">
        <f>'Stavební rozpočet'!D8</f>
        <v>8013189</v>
      </c>
      <c r="E8" s="362" t="s">
        <v>89</v>
      </c>
      <c r="F8" s="354"/>
      <c r="G8" s="416" t="s">
        <v>77</v>
      </c>
      <c r="H8" s="354"/>
      <c r="I8" s="362" t="s">
        <v>36</v>
      </c>
      <c r="J8" s="362" t="str">
        <f>'Stavební rozpočet'!J8</f>
        <v>Ing. Jiří Šír</v>
      </c>
      <c r="K8" s="354"/>
      <c r="L8" s="360"/>
      <c r="M8" s="2"/>
    </row>
    <row r="9" spans="1:13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7"/>
      <c r="M9" s="2"/>
    </row>
    <row r="10" spans="1:13" ht="12.75">
      <c r="A10" s="29" t="s">
        <v>77</v>
      </c>
      <c r="B10" s="420" t="s">
        <v>77</v>
      </c>
      <c r="C10" s="421"/>
      <c r="D10" s="421"/>
      <c r="E10" s="421"/>
      <c r="F10" s="421"/>
      <c r="G10" s="421"/>
      <c r="H10" s="422"/>
      <c r="I10" s="423" t="s">
        <v>90</v>
      </c>
      <c r="J10" s="424"/>
      <c r="K10" s="425"/>
      <c r="L10" s="36" t="s">
        <v>94</v>
      </c>
      <c r="M10" s="17"/>
    </row>
    <row r="11" spans="1:13" ht="12.75">
      <c r="A11" s="30" t="s">
        <v>78</v>
      </c>
      <c r="B11" s="426" t="s">
        <v>83</v>
      </c>
      <c r="C11" s="427"/>
      <c r="D11" s="427"/>
      <c r="E11" s="427"/>
      <c r="F11" s="427"/>
      <c r="G11" s="427"/>
      <c r="H11" s="428"/>
      <c r="I11" s="34" t="s">
        <v>91</v>
      </c>
      <c r="J11" s="35" t="s">
        <v>21</v>
      </c>
      <c r="K11" s="35" t="s">
        <v>93</v>
      </c>
      <c r="L11" s="37" t="s">
        <v>93</v>
      </c>
      <c r="M11" s="17"/>
    </row>
    <row r="12" spans="1:14" ht="12.75">
      <c r="A12" s="31" t="s">
        <v>79</v>
      </c>
      <c r="B12" s="429" t="s">
        <v>400</v>
      </c>
      <c r="C12" s="421"/>
      <c r="D12" s="421"/>
      <c r="E12" s="421"/>
      <c r="F12" s="421"/>
      <c r="G12" s="421"/>
      <c r="H12" s="421"/>
      <c r="I12" s="39">
        <f>'Krycí list objektu (SO 01)'!C14+'Krycí list objektu (SO 01)'!C16+'Krycí list objektu (SO 01)'!C18</f>
        <v>0</v>
      </c>
      <c r="J12" s="39">
        <f>'Krycí list objektu (SO 01)'!C15+'Krycí list objektu (SO 01)'!C17+'Krycí list objektu (SO 01)'!C19+'Krycí list objektu (SO 01)'!C21</f>
        <v>0</v>
      </c>
      <c r="K12" s="39">
        <f>I12+J12</f>
        <v>0</v>
      </c>
      <c r="L12" s="39">
        <f>'Stavební rozpočet'!L12</f>
        <v>0</v>
      </c>
      <c r="M12" s="38" t="s">
        <v>95</v>
      </c>
      <c r="N12" s="38">
        <f>IF(M12="F",0,K12)</f>
        <v>0</v>
      </c>
    </row>
    <row r="13" spans="1:14" ht="12.75">
      <c r="A13" s="16" t="s">
        <v>80</v>
      </c>
      <c r="B13" s="364" t="s">
        <v>85</v>
      </c>
      <c r="C13" s="354"/>
      <c r="D13" s="354"/>
      <c r="E13" s="354"/>
      <c r="F13" s="354"/>
      <c r="G13" s="354"/>
      <c r="H13" s="354"/>
      <c r="I13" s="38">
        <f>'Krycí list objektu (SO 02)'!C14+'Krycí list objektu (SO 02)'!C16+'Krycí list objektu (SO 02)'!C18</f>
        <v>0</v>
      </c>
      <c r="J13" s="38">
        <f>'Krycí list objektu (SO 02)'!C15+'Krycí list objektu (SO 02)'!C17+'Krycí list objektu (SO 02)'!C19+'Krycí list objektu (SO 02)'!C21</f>
        <v>0</v>
      </c>
      <c r="K13" s="38">
        <f>I13+J13</f>
        <v>0</v>
      </c>
      <c r="L13" s="38">
        <f>'Stavební rozpočet'!L16</f>
        <v>33.205674200000004</v>
      </c>
      <c r="M13" s="38" t="s">
        <v>95</v>
      </c>
      <c r="N13" s="38">
        <f>IF(M13="F",0,K13)</f>
        <v>0</v>
      </c>
    </row>
    <row r="14" spans="1:14" ht="12.75">
      <c r="A14" s="16" t="s">
        <v>81</v>
      </c>
      <c r="B14" s="364" t="s">
        <v>86</v>
      </c>
      <c r="C14" s="354"/>
      <c r="D14" s="354"/>
      <c r="E14" s="354"/>
      <c r="F14" s="354"/>
      <c r="G14" s="354"/>
      <c r="H14" s="354"/>
      <c r="I14" s="38">
        <f>'Krycí list objektu (SO 03)'!C14+'Krycí list objektu (SO 03)'!C16+'Krycí list objektu (SO 03)'!C18</f>
        <v>0</v>
      </c>
      <c r="J14" s="38">
        <f>'Krycí list objektu (SO 03)'!C15+'Krycí list objektu (SO 03)'!C17+'Krycí list objektu (SO 03)'!C19+'Krycí list objektu (SO 03)'!C21</f>
        <v>0</v>
      </c>
      <c r="K14" s="38">
        <f>I14+J14</f>
        <v>0</v>
      </c>
      <c r="L14" s="38">
        <f>'Stavební rozpočet'!L120</f>
        <v>0</v>
      </c>
      <c r="M14" s="38" t="s">
        <v>95</v>
      </c>
      <c r="N14" s="38">
        <f>IF(M14="F",0,K14)</f>
        <v>0</v>
      </c>
    </row>
    <row r="15" spans="1:14" ht="12.75">
      <c r="A15" s="32" t="s">
        <v>82</v>
      </c>
      <c r="B15" s="418" t="s">
        <v>87</v>
      </c>
      <c r="C15" s="366"/>
      <c r="D15" s="366"/>
      <c r="E15" s="366"/>
      <c r="F15" s="366"/>
      <c r="G15" s="366"/>
      <c r="H15" s="366"/>
      <c r="I15" s="40">
        <f>'Krycí list objektu (SO 04)'!C14+'Krycí list objektu (SO 04)'!C16+'Krycí list objektu (SO 04)'!C18</f>
        <v>0</v>
      </c>
      <c r="J15" s="40">
        <f>'Krycí list objektu (SO 04)'!C15+'Krycí list objektu (SO 04)'!C17+'Krycí list objektu (SO 04)'!C19+'Krycí list objektu (SO 04)'!C21</f>
        <v>0</v>
      </c>
      <c r="K15" s="40">
        <f>I15+J15</f>
        <v>0</v>
      </c>
      <c r="L15" s="40">
        <f>'Stavební rozpočet'!L124</f>
        <v>0</v>
      </c>
      <c r="M15" s="38" t="s">
        <v>95</v>
      </c>
      <c r="N15" s="38">
        <f>IF(M15="F",0,K15)</f>
        <v>0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419" t="s">
        <v>92</v>
      </c>
      <c r="J16" s="356"/>
      <c r="K16" s="41">
        <f>SUM(K12:K15)</f>
        <v>0</v>
      </c>
      <c r="L16" s="7"/>
    </row>
    <row r="17" ht="11.25" customHeight="1">
      <c r="A17" s="33" t="s">
        <v>18</v>
      </c>
    </row>
    <row r="18" spans="1:11" ht="12.75">
      <c r="A18" s="362"/>
      <c r="B18" s="354"/>
      <c r="C18" s="354"/>
      <c r="D18" s="354"/>
      <c r="E18" s="354"/>
      <c r="F18" s="354"/>
      <c r="G18" s="354"/>
      <c r="H18" s="354"/>
      <c r="I18" s="354"/>
      <c r="J18" s="354"/>
      <c r="K18" s="354"/>
    </row>
  </sheetData>
  <sheetProtection/>
  <mergeCells count="34">
    <mergeCell ref="B15:H15"/>
    <mergeCell ref="I16:J16"/>
    <mergeCell ref="A18:K18"/>
    <mergeCell ref="B10:H10"/>
    <mergeCell ref="I10:K10"/>
    <mergeCell ref="B11:H11"/>
    <mergeCell ref="B12:H12"/>
    <mergeCell ref="B13:H13"/>
    <mergeCell ref="B14:H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35"/>
  <sheetViews>
    <sheetView zoomScalePageLayoutView="0" workbookViewId="0" topLeftCell="A1">
      <selection activeCell="H39" sqref="H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1"/>
      <c r="C1" s="349" t="s">
        <v>96</v>
      </c>
      <c r="D1" s="350"/>
      <c r="E1" s="350"/>
      <c r="F1" s="350"/>
      <c r="G1" s="350"/>
      <c r="H1" s="350"/>
      <c r="I1" s="350"/>
    </row>
    <row r="2" spans="1:10" ht="12.75">
      <c r="A2" s="351" t="s">
        <v>0</v>
      </c>
      <c r="B2" s="352"/>
      <c r="C2" s="355" t="str">
        <f>'Stavební rozpočet'!D2</f>
        <v>MŠ Velký Borek, energeticky úsporné větrání</v>
      </c>
      <c r="D2" s="356"/>
      <c r="E2" s="358" t="s">
        <v>32</v>
      </c>
      <c r="F2" s="358" t="str">
        <f>'Stavební rozpočet'!J2</f>
        <v>Obec Velký Borek</v>
      </c>
      <c r="G2" s="352"/>
      <c r="H2" s="358" t="s">
        <v>52</v>
      </c>
      <c r="I2" s="359" t="s">
        <v>56</v>
      </c>
      <c r="J2" s="2"/>
    </row>
    <row r="3" spans="1:10" ht="12.75">
      <c r="A3" s="353"/>
      <c r="B3" s="354"/>
      <c r="C3" s="357"/>
      <c r="D3" s="357"/>
      <c r="E3" s="354"/>
      <c r="F3" s="354"/>
      <c r="G3" s="354"/>
      <c r="H3" s="354"/>
      <c r="I3" s="360"/>
      <c r="J3" s="2"/>
    </row>
    <row r="4" spans="1:10" ht="12.75">
      <c r="A4" s="361" t="s">
        <v>1</v>
      </c>
      <c r="B4" s="354"/>
      <c r="C4" s="362" t="str">
        <f>'Stavební rozpočet'!D4</f>
        <v>TZB - Technika prostředí - VZT řízené větrání s rekuperací, chlazení</v>
      </c>
      <c r="D4" s="354"/>
      <c r="E4" s="362" t="s">
        <v>33</v>
      </c>
      <c r="F4" s="362" t="str">
        <f>'Stavební rozpočet'!J4</f>
        <v>Ing. Jiří Šír - VISTA</v>
      </c>
      <c r="G4" s="354"/>
      <c r="H4" s="362" t="s">
        <v>52</v>
      </c>
      <c r="I4" s="363" t="s">
        <v>57</v>
      </c>
      <c r="J4" s="2"/>
    </row>
    <row r="5" spans="1:10" ht="12.75">
      <c r="A5" s="353"/>
      <c r="B5" s="354"/>
      <c r="C5" s="354"/>
      <c r="D5" s="354"/>
      <c r="E5" s="354"/>
      <c r="F5" s="354"/>
      <c r="G5" s="354"/>
      <c r="H5" s="354"/>
      <c r="I5" s="360"/>
      <c r="J5" s="2"/>
    </row>
    <row r="6" spans="1:10" ht="12.75">
      <c r="A6" s="361" t="s">
        <v>2</v>
      </c>
      <c r="B6" s="354"/>
      <c r="C6" s="362" t="str">
        <f>'Stavební rozpočet'!D6</f>
        <v>Školní  č.p. 226, Velký Borek</v>
      </c>
      <c r="D6" s="354"/>
      <c r="E6" s="362" t="s">
        <v>34</v>
      </c>
      <c r="F6" s="362" t="str">
        <f>'Stavební rozpočet'!J6</f>
        <v>Vzejde z výběrového řízení</v>
      </c>
      <c r="G6" s="354"/>
      <c r="H6" s="362" t="s">
        <v>52</v>
      </c>
      <c r="I6" s="363"/>
      <c r="J6" s="2"/>
    </row>
    <row r="7" spans="1:10" ht="12.75">
      <c r="A7" s="353"/>
      <c r="B7" s="354"/>
      <c r="C7" s="354"/>
      <c r="D7" s="354"/>
      <c r="E7" s="354"/>
      <c r="F7" s="354"/>
      <c r="G7" s="354"/>
      <c r="H7" s="354"/>
      <c r="I7" s="360"/>
      <c r="J7" s="2"/>
    </row>
    <row r="8" spans="1:10" ht="12.75">
      <c r="A8" s="361" t="s">
        <v>3</v>
      </c>
      <c r="B8" s="354"/>
      <c r="C8" s="362" t="str">
        <f>'Stavební rozpočet'!G4</f>
        <v> </v>
      </c>
      <c r="D8" s="354"/>
      <c r="E8" s="362" t="s">
        <v>35</v>
      </c>
      <c r="F8" s="388" t="s">
        <v>77</v>
      </c>
      <c r="G8" s="354"/>
      <c r="H8" s="364" t="s">
        <v>53</v>
      </c>
      <c r="I8" s="363" t="s">
        <v>97</v>
      </c>
      <c r="J8" s="2"/>
    </row>
    <row r="9" spans="1:10" ht="12.75">
      <c r="A9" s="353"/>
      <c r="B9" s="354"/>
      <c r="C9" s="354"/>
      <c r="D9" s="354"/>
      <c r="E9" s="354"/>
      <c r="F9" s="354"/>
      <c r="G9" s="354"/>
      <c r="H9" s="354"/>
      <c r="I9" s="360"/>
      <c r="J9" s="2"/>
    </row>
    <row r="10" spans="1:10" ht="12.75">
      <c r="A10" s="361" t="s">
        <v>4</v>
      </c>
      <c r="B10" s="354"/>
      <c r="C10" s="362">
        <f>'Stavební rozpočet'!D8</f>
        <v>8013189</v>
      </c>
      <c r="D10" s="354"/>
      <c r="E10" s="362" t="s">
        <v>36</v>
      </c>
      <c r="F10" s="362" t="str">
        <f>'Stavební rozpočet'!J8</f>
        <v>Ing. Jiří Šír</v>
      </c>
      <c r="G10" s="354"/>
      <c r="H10" s="364" t="s">
        <v>54</v>
      </c>
      <c r="I10" s="367">
        <f>'Krycí list rozpočtu'!I10:I11</f>
        <v>43221</v>
      </c>
      <c r="J10" s="2"/>
    </row>
    <row r="11" spans="1:10" ht="12.75">
      <c r="A11" s="365"/>
      <c r="B11" s="366"/>
      <c r="C11" s="366"/>
      <c r="D11" s="366"/>
      <c r="E11" s="366"/>
      <c r="F11" s="366"/>
      <c r="G11" s="366"/>
      <c r="H11" s="366"/>
      <c r="I11" s="389"/>
      <c r="J11" s="2"/>
    </row>
    <row r="12" spans="1:9" ht="23.25" customHeight="1">
      <c r="A12" s="369" t="s">
        <v>5</v>
      </c>
      <c r="B12" s="370"/>
      <c r="C12" s="370"/>
      <c r="D12" s="370"/>
      <c r="E12" s="370"/>
      <c r="F12" s="370"/>
      <c r="G12" s="370"/>
      <c r="H12" s="370"/>
      <c r="I12" s="370"/>
    </row>
    <row r="13" spans="1:10" ht="26.25" customHeight="1">
      <c r="A13" s="4" t="s">
        <v>6</v>
      </c>
      <c r="B13" s="371" t="s">
        <v>19</v>
      </c>
      <c r="C13" s="372"/>
      <c r="D13" s="4" t="s">
        <v>23</v>
      </c>
      <c r="E13" s="371" t="s">
        <v>37</v>
      </c>
      <c r="F13" s="372"/>
      <c r="G13" s="4" t="s">
        <v>38</v>
      </c>
      <c r="H13" s="371" t="s">
        <v>55</v>
      </c>
      <c r="I13" s="372"/>
      <c r="J13" s="2"/>
    </row>
    <row r="14" spans="1:10" ht="15" customHeight="1">
      <c r="A14" s="5" t="s">
        <v>7</v>
      </c>
      <c r="B14" s="10" t="s">
        <v>20</v>
      </c>
      <c r="C14" s="13">
        <f>SUM('Stavební rozpočet (SO 01)'!R12:R148)</f>
        <v>0</v>
      </c>
      <c r="D14" s="373" t="s">
        <v>24</v>
      </c>
      <c r="E14" s="374"/>
      <c r="F14" s="13">
        <v>0</v>
      </c>
      <c r="G14" s="373" t="s">
        <v>39</v>
      </c>
      <c r="H14" s="374"/>
      <c r="I14" s="13">
        <v>0</v>
      </c>
      <c r="J14" s="2"/>
    </row>
    <row r="15" spans="1:10" ht="15" customHeight="1">
      <c r="A15" s="6"/>
      <c r="B15" s="10" t="s">
        <v>21</v>
      </c>
      <c r="C15" s="13">
        <f>SUM('Stavební rozpočet (SO 01)'!S12:S148)</f>
        <v>0</v>
      </c>
      <c r="D15" s="373" t="s">
        <v>25</v>
      </c>
      <c r="E15" s="374"/>
      <c r="F15" s="13">
        <v>0</v>
      </c>
      <c r="G15" s="373" t="s">
        <v>40</v>
      </c>
      <c r="H15" s="374"/>
      <c r="I15" s="13">
        <v>0</v>
      </c>
      <c r="J15" s="2"/>
    </row>
    <row r="16" spans="1:10" ht="15" customHeight="1">
      <c r="A16" s="5" t="s">
        <v>8</v>
      </c>
      <c r="B16" s="10" t="s">
        <v>20</v>
      </c>
      <c r="C16" s="13">
        <f>SUM('Stavební rozpočet (SO 01)'!T12:T148)</f>
        <v>0</v>
      </c>
      <c r="D16" s="373" t="s">
        <v>26</v>
      </c>
      <c r="E16" s="374"/>
      <c r="F16" s="13">
        <v>0</v>
      </c>
      <c r="G16" s="373" t="s">
        <v>41</v>
      </c>
      <c r="H16" s="374"/>
      <c r="I16" s="13">
        <v>0</v>
      </c>
      <c r="J16" s="2"/>
    </row>
    <row r="17" spans="1:10" ht="15" customHeight="1">
      <c r="A17" s="6"/>
      <c r="B17" s="10" t="s">
        <v>21</v>
      </c>
      <c r="C17" s="13">
        <f>SUM('Stavební rozpočet (SO 01)'!U12:U148)</f>
        <v>0</v>
      </c>
      <c r="D17" s="373"/>
      <c r="E17" s="374"/>
      <c r="F17" s="14"/>
      <c r="G17" s="373" t="s">
        <v>42</v>
      </c>
      <c r="H17" s="374"/>
      <c r="I17" s="13">
        <v>0</v>
      </c>
      <c r="J17" s="2"/>
    </row>
    <row r="18" spans="1:10" ht="15" customHeight="1">
      <c r="A18" s="5" t="s">
        <v>9</v>
      </c>
      <c r="B18" s="10" t="s">
        <v>20</v>
      </c>
      <c r="C18" s="13">
        <f>SUM('Stavební rozpočet (SO 01)'!V12:V148)</f>
        <v>0</v>
      </c>
      <c r="D18" s="373"/>
      <c r="E18" s="374"/>
      <c r="F18" s="14"/>
      <c r="G18" s="373" t="s">
        <v>43</v>
      </c>
      <c r="H18" s="374"/>
      <c r="I18" s="13">
        <v>0</v>
      </c>
      <c r="J18" s="2"/>
    </row>
    <row r="19" spans="1:10" ht="15" customHeight="1">
      <c r="A19" s="6"/>
      <c r="B19" s="10" t="s">
        <v>21</v>
      </c>
      <c r="C19" s="13">
        <f>SUM('Stavební rozpočet (SO 01)'!W12:W148)</f>
        <v>0</v>
      </c>
      <c r="D19" s="373"/>
      <c r="E19" s="374"/>
      <c r="F19" s="14"/>
      <c r="G19" s="373" t="s">
        <v>44</v>
      </c>
      <c r="H19" s="374"/>
      <c r="I19" s="13">
        <v>0</v>
      </c>
      <c r="J19" s="2"/>
    </row>
    <row r="20" spans="1:10" ht="15" customHeight="1">
      <c r="A20" s="375" t="s">
        <v>10</v>
      </c>
      <c r="B20" s="376"/>
      <c r="C20" s="13">
        <f>SUM('Stavební rozpočet (SO 01)'!X12:X148)</f>
        <v>0</v>
      </c>
      <c r="D20" s="373"/>
      <c r="E20" s="374"/>
      <c r="F20" s="14"/>
      <c r="G20" s="373"/>
      <c r="H20" s="374"/>
      <c r="I20" s="14"/>
      <c r="J20" s="2"/>
    </row>
    <row r="21" spans="1:10" ht="15" customHeight="1">
      <c r="A21" s="375" t="s">
        <v>11</v>
      </c>
      <c r="B21" s="376"/>
      <c r="C21" s="13">
        <f>SUM('Stavební rozpočet (SO 01)'!P12:P148)</f>
        <v>0</v>
      </c>
      <c r="D21" s="373"/>
      <c r="E21" s="374"/>
      <c r="F21" s="14"/>
      <c r="G21" s="373"/>
      <c r="H21" s="374"/>
      <c r="I21" s="14"/>
      <c r="J21" s="2"/>
    </row>
    <row r="22" spans="1:10" ht="16.5" customHeight="1">
      <c r="A22" s="375" t="s">
        <v>12</v>
      </c>
      <c r="B22" s="376"/>
      <c r="C22" s="13">
        <f>SUM(C14:C21)</f>
        <v>0</v>
      </c>
      <c r="D22" s="375" t="s">
        <v>27</v>
      </c>
      <c r="E22" s="376"/>
      <c r="F22" s="13">
        <f>SUM(F14:F21)</f>
        <v>0</v>
      </c>
      <c r="G22" s="375" t="s">
        <v>45</v>
      </c>
      <c r="H22" s="376"/>
      <c r="I22" s="13">
        <f>SUM(I14:I21)</f>
        <v>0</v>
      </c>
      <c r="J22" s="2"/>
    </row>
    <row r="23" spans="1:10" ht="15" customHeight="1">
      <c r="A23" s="7"/>
      <c r="B23" s="7"/>
      <c r="C23" s="7"/>
      <c r="D23" s="7"/>
      <c r="E23" s="7"/>
      <c r="F23" s="12"/>
      <c r="G23" s="375" t="s">
        <v>47</v>
      </c>
      <c r="H23" s="376"/>
      <c r="I23" s="13">
        <v>0</v>
      </c>
      <c r="J23" s="2"/>
    </row>
    <row r="24" spans="1:9" ht="12.75">
      <c r="A24" s="1"/>
      <c r="B24" s="1"/>
      <c r="C24" s="1"/>
      <c r="G24" s="7"/>
      <c r="H24" s="7"/>
      <c r="I24" s="7"/>
    </row>
    <row r="25" spans="1:9" ht="15" customHeight="1">
      <c r="A25" s="377" t="s">
        <v>13</v>
      </c>
      <c r="B25" s="378"/>
      <c r="C25" s="18">
        <f>SUM('Stavební rozpočet (SO 01)'!Z12:Z148)</f>
        <v>0</v>
      </c>
      <c r="D25" s="3"/>
      <c r="E25" s="1"/>
      <c r="F25" s="1"/>
      <c r="G25" s="1"/>
      <c r="H25" s="1"/>
      <c r="I25" s="1"/>
    </row>
    <row r="26" spans="1:10" ht="15" customHeight="1">
      <c r="A26" s="377" t="s">
        <v>14</v>
      </c>
      <c r="B26" s="378"/>
      <c r="C26" s="18">
        <f>SUM('Stavební rozpočet (SO 01)'!AA12:AA148)</f>
        <v>0</v>
      </c>
      <c r="D26" s="377" t="s">
        <v>29</v>
      </c>
      <c r="E26" s="378"/>
      <c r="F26" s="18">
        <f>ROUND(C26*(15/100),2)</f>
        <v>0</v>
      </c>
      <c r="G26" s="377" t="s">
        <v>49</v>
      </c>
      <c r="H26" s="378"/>
      <c r="I26" s="18">
        <f>SUM(C25:C27)</f>
        <v>0</v>
      </c>
      <c r="J26" s="2"/>
    </row>
    <row r="27" spans="1:10" ht="15" customHeight="1">
      <c r="A27" s="377" t="s">
        <v>15</v>
      </c>
      <c r="B27" s="378"/>
      <c r="C27" s="18">
        <f>SUM('Stavební rozpočet (SO 01)'!AB12:AB148)+(F22+I22+F23+I23+I24)</f>
        <v>0</v>
      </c>
      <c r="D27" s="377" t="s">
        <v>30</v>
      </c>
      <c r="E27" s="378"/>
      <c r="F27" s="18">
        <f>ROUND(C27*(21/100),2)</f>
        <v>0</v>
      </c>
      <c r="G27" s="377" t="s">
        <v>50</v>
      </c>
      <c r="H27" s="378"/>
      <c r="I27" s="18">
        <f>SUM(F26:F27)+I26</f>
        <v>0</v>
      </c>
      <c r="J27" s="2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10" ht="14.25" customHeight="1">
      <c r="A29" s="379" t="s">
        <v>16</v>
      </c>
      <c r="B29" s="380"/>
      <c r="C29" s="381"/>
      <c r="D29" s="379" t="s">
        <v>31</v>
      </c>
      <c r="E29" s="380"/>
      <c r="F29" s="381"/>
      <c r="G29" s="379" t="s">
        <v>51</v>
      </c>
      <c r="H29" s="380"/>
      <c r="I29" s="381"/>
      <c r="J29" s="17"/>
    </row>
    <row r="30" spans="1:10" ht="14.25" customHeight="1">
      <c r="A30" s="382"/>
      <c r="B30" s="383"/>
      <c r="C30" s="384"/>
      <c r="D30" s="382"/>
      <c r="E30" s="383"/>
      <c r="F30" s="384"/>
      <c r="G30" s="382"/>
      <c r="H30" s="383"/>
      <c r="I30" s="384"/>
      <c r="J30" s="17"/>
    </row>
    <row r="31" spans="1:10" ht="14.25" customHeight="1">
      <c r="A31" s="382"/>
      <c r="B31" s="383"/>
      <c r="C31" s="384"/>
      <c r="D31" s="382"/>
      <c r="E31" s="383"/>
      <c r="F31" s="384"/>
      <c r="G31" s="382"/>
      <c r="H31" s="383"/>
      <c r="I31" s="384"/>
      <c r="J31" s="17"/>
    </row>
    <row r="32" spans="1:10" ht="14.25" customHeight="1">
      <c r="A32" s="382"/>
      <c r="B32" s="383"/>
      <c r="C32" s="384"/>
      <c r="D32" s="382"/>
      <c r="E32" s="383"/>
      <c r="F32" s="384"/>
      <c r="G32" s="382"/>
      <c r="H32" s="383"/>
      <c r="I32" s="384"/>
      <c r="J32" s="17"/>
    </row>
    <row r="33" spans="1:10" ht="14.25" customHeight="1">
      <c r="A33" s="385" t="s">
        <v>17</v>
      </c>
      <c r="B33" s="386"/>
      <c r="C33" s="387"/>
      <c r="D33" s="385" t="s">
        <v>17</v>
      </c>
      <c r="E33" s="386"/>
      <c r="F33" s="387"/>
      <c r="G33" s="385" t="s">
        <v>17</v>
      </c>
      <c r="H33" s="386"/>
      <c r="I33" s="387"/>
      <c r="J33" s="17"/>
    </row>
    <row r="34" spans="1:9" ht="11.25" customHeight="1">
      <c r="A34" s="9" t="s">
        <v>18</v>
      </c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362"/>
      <c r="B35" s="354"/>
      <c r="C35" s="354"/>
      <c r="D35" s="354"/>
      <c r="E35" s="354"/>
      <c r="F35" s="354"/>
      <c r="G35" s="354"/>
      <c r="H35" s="354"/>
      <c r="I35" s="354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PageLayoutView="0" workbookViewId="0" topLeftCell="A1">
      <pane ySplit="11" topLeftCell="A12" activePane="bottomLeft" state="frozen"/>
      <selection pane="topLeft" activeCell="H39" sqref="H39"/>
      <selection pane="bottomLeft" activeCell="H39" sqref="H3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2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8" width="12.140625" style="0" hidden="1" customWidth="1"/>
  </cols>
  <sheetData>
    <row r="1" spans="1:13" ht="72.75" customHeight="1">
      <c r="A1" s="410" t="s">
        <v>101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4" ht="12.75">
      <c r="A2" s="351" t="s">
        <v>0</v>
      </c>
      <c r="B2" s="352"/>
      <c r="C2" s="352"/>
      <c r="D2" s="355" t="str">
        <f>'Stavební rozpočet'!D2</f>
        <v>MŠ Velký Borek, energeticky úsporné větrání</v>
      </c>
      <c r="E2" s="430" t="s">
        <v>88</v>
      </c>
      <c r="F2" s="352"/>
      <c r="G2" s="412" t="s">
        <v>77</v>
      </c>
      <c r="H2" s="352"/>
      <c r="I2" s="358" t="s">
        <v>32</v>
      </c>
      <c r="J2" s="358" t="str">
        <f>'Stavební rozpočet'!J2</f>
        <v>Obec Velký Borek</v>
      </c>
      <c r="K2" s="352"/>
      <c r="L2" s="352"/>
      <c r="M2" s="413"/>
      <c r="N2" s="2"/>
    </row>
    <row r="3" spans="1:14" ht="12.75">
      <c r="A3" s="353"/>
      <c r="B3" s="354"/>
      <c r="C3" s="354"/>
      <c r="D3" s="357"/>
      <c r="E3" s="354"/>
      <c r="F3" s="354"/>
      <c r="G3" s="354"/>
      <c r="H3" s="354"/>
      <c r="I3" s="354"/>
      <c r="J3" s="354"/>
      <c r="K3" s="354"/>
      <c r="L3" s="354"/>
      <c r="M3" s="360"/>
      <c r="N3" s="2"/>
    </row>
    <row r="4" spans="1:14" ht="12.75">
      <c r="A4" s="361" t="s">
        <v>1</v>
      </c>
      <c r="B4" s="354"/>
      <c r="C4" s="354"/>
      <c r="D4" s="362" t="str">
        <f>'Stavební rozpočet'!D4</f>
        <v>TZB - Technika prostředí - VZT řízené větrání s rekuperací, chlazení</v>
      </c>
      <c r="E4" s="364" t="s">
        <v>3</v>
      </c>
      <c r="F4" s="354"/>
      <c r="G4" s="362" t="str">
        <f>'Stavební rozpočet'!G4</f>
        <v> </v>
      </c>
      <c r="H4" s="354"/>
      <c r="I4" s="362" t="s">
        <v>33</v>
      </c>
      <c r="J4" s="362" t="str">
        <f>'Stavební rozpočet'!J4</f>
        <v>Ing. Jiří Šír - VISTA</v>
      </c>
      <c r="K4" s="354"/>
      <c r="L4" s="354"/>
      <c r="M4" s="360"/>
      <c r="N4" s="2"/>
    </row>
    <row r="5" spans="1:14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60"/>
      <c r="N5" s="2"/>
    </row>
    <row r="6" spans="1:14" ht="12.75">
      <c r="A6" s="361" t="s">
        <v>2</v>
      </c>
      <c r="B6" s="354"/>
      <c r="C6" s="354"/>
      <c r="D6" s="362" t="str">
        <f>'Stavební rozpočet'!D6</f>
        <v>Školní  č.p. 226, Velký Borek</v>
      </c>
      <c r="E6" s="364" t="s">
        <v>35</v>
      </c>
      <c r="F6" s="354"/>
      <c r="G6" s="388" t="s">
        <v>77</v>
      </c>
      <c r="H6" s="354"/>
      <c r="I6" s="362" t="s">
        <v>34</v>
      </c>
      <c r="J6" s="362" t="str">
        <f>'Stavební rozpočet'!J6</f>
        <v>Vzejde z výběrového řízení</v>
      </c>
      <c r="K6" s="354"/>
      <c r="L6" s="354"/>
      <c r="M6" s="360"/>
      <c r="N6" s="2"/>
    </row>
    <row r="7" spans="1:1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60"/>
      <c r="N7" s="2"/>
    </row>
    <row r="8" spans="1:14" ht="12.75">
      <c r="A8" s="361" t="s">
        <v>4</v>
      </c>
      <c r="B8" s="354"/>
      <c r="C8" s="354"/>
      <c r="D8" s="362">
        <f>'Stavební rozpočet'!D8</f>
        <v>8013189</v>
      </c>
      <c r="E8" s="364" t="s">
        <v>89</v>
      </c>
      <c r="F8" s="354"/>
      <c r="G8" s="388" t="s">
        <v>77</v>
      </c>
      <c r="H8" s="354"/>
      <c r="I8" s="362" t="s">
        <v>36</v>
      </c>
      <c r="J8" s="362" t="str">
        <f>'Stavební rozpočet'!J8</f>
        <v>Ing. Jiří Šír</v>
      </c>
      <c r="K8" s="354"/>
      <c r="L8" s="354"/>
      <c r="M8" s="360"/>
      <c r="N8" s="2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7"/>
      <c r="N9" s="2"/>
    </row>
    <row r="10" spans="1:14" ht="12.75">
      <c r="A10" s="42" t="s">
        <v>102</v>
      </c>
      <c r="B10" s="47" t="s">
        <v>78</v>
      </c>
      <c r="C10" s="47" t="s">
        <v>98</v>
      </c>
      <c r="D10" s="47" t="s">
        <v>83</v>
      </c>
      <c r="E10" s="47" t="s">
        <v>106</v>
      </c>
      <c r="F10" s="52" t="s">
        <v>108</v>
      </c>
      <c r="G10" s="54" t="s">
        <v>109</v>
      </c>
      <c r="H10" s="423" t="s">
        <v>90</v>
      </c>
      <c r="I10" s="424"/>
      <c r="J10" s="425"/>
      <c r="K10" s="423" t="s">
        <v>94</v>
      </c>
      <c r="L10" s="425"/>
      <c r="M10" s="58" t="s">
        <v>111</v>
      </c>
      <c r="N10" s="17"/>
    </row>
    <row r="11" spans="1:24" ht="12.75">
      <c r="A11" s="43" t="s">
        <v>77</v>
      </c>
      <c r="B11" s="48" t="s">
        <v>77</v>
      </c>
      <c r="C11" s="48" t="s">
        <v>77</v>
      </c>
      <c r="D11" s="30" t="s">
        <v>104</v>
      </c>
      <c r="E11" s="48" t="s">
        <v>77</v>
      </c>
      <c r="F11" s="48" t="s">
        <v>77</v>
      </c>
      <c r="G11" s="55" t="s">
        <v>110</v>
      </c>
      <c r="H11" s="34" t="s">
        <v>91</v>
      </c>
      <c r="I11" s="35" t="s">
        <v>21</v>
      </c>
      <c r="J11" s="37" t="s">
        <v>93</v>
      </c>
      <c r="K11" s="34" t="s">
        <v>109</v>
      </c>
      <c r="L11" s="37" t="s">
        <v>93</v>
      </c>
      <c r="M11" s="59" t="s">
        <v>112</v>
      </c>
      <c r="N11" s="17"/>
      <c r="P11" s="57" t="s">
        <v>113</v>
      </c>
      <c r="Q11" s="57" t="s">
        <v>114</v>
      </c>
      <c r="R11" s="57" t="s">
        <v>115</v>
      </c>
      <c r="S11" s="57" t="s">
        <v>116</v>
      </c>
      <c r="T11" s="57" t="s">
        <v>117</v>
      </c>
      <c r="U11" s="57" t="s">
        <v>118</v>
      </c>
      <c r="V11" s="57" t="s">
        <v>119</v>
      </c>
      <c r="W11" s="57" t="s">
        <v>120</v>
      </c>
      <c r="X11" s="57" t="s">
        <v>121</v>
      </c>
    </row>
    <row r="12" spans="1:13" ht="12.75">
      <c r="A12" s="44"/>
      <c r="B12" s="49" t="s">
        <v>79</v>
      </c>
      <c r="C12" s="49"/>
      <c r="D12" s="49" t="s">
        <v>84</v>
      </c>
      <c r="E12" s="44" t="s">
        <v>77</v>
      </c>
      <c r="F12" s="44" t="s">
        <v>77</v>
      </c>
      <c r="G12" s="44" t="s">
        <v>77</v>
      </c>
      <c r="H12" s="63">
        <f>H13</f>
        <v>0</v>
      </c>
      <c r="I12" s="63">
        <f>I13</f>
        <v>0</v>
      </c>
      <c r="J12" s="63">
        <f>H12+I12</f>
        <v>0</v>
      </c>
      <c r="K12" s="56"/>
      <c r="L12" s="63">
        <f>L13</f>
        <v>0</v>
      </c>
      <c r="M12" s="56"/>
    </row>
    <row r="13" spans="1:37" ht="12.75">
      <c r="A13" s="45"/>
      <c r="B13" s="50" t="s">
        <v>79</v>
      </c>
      <c r="C13" s="50" t="s">
        <v>99</v>
      </c>
      <c r="D13" s="50" t="s">
        <v>100</v>
      </c>
      <c r="E13" s="45" t="s">
        <v>77</v>
      </c>
      <c r="F13" s="45" t="s">
        <v>77</v>
      </c>
      <c r="G13" s="45" t="s">
        <v>77</v>
      </c>
      <c r="H13" s="64">
        <f>SUM(H14:H14)</f>
        <v>0</v>
      </c>
      <c r="I13" s="64">
        <f>SUM(I14:I14)</f>
        <v>0</v>
      </c>
      <c r="J13" s="64">
        <f>H13+I13</f>
        <v>0</v>
      </c>
      <c r="K13" s="57"/>
      <c r="L13" s="64">
        <f>SUM(L14:L14)</f>
        <v>0</v>
      </c>
      <c r="M13" s="57"/>
      <c r="Y13" s="57" t="s">
        <v>79</v>
      </c>
      <c r="AI13" s="64">
        <f>SUM(Z14:Z14)</f>
        <v>0</v>
      </c>
      <c r="AJ13" s="64">
        <f>SUM(AA14:AA14)</f>
        <v>0</v>
      </c>
      <c r="AK13" s="64">
        <f>SUM(AB14:AB14)</f>
        <v>0</v>
      </c>
    </row>
    <row r="14" spans="1:48" ht="12.75">
      <c r="A14" s="46" t="s">
        <v>97</v>
      </c>
      <c r="B14" s="46" t="s">
        <v>79</v>
      </c>
      <c r="C14" s="46" t="s">
        <v>103</v>
      </c>
      <c r="D14" s="46" t="s">
        <v>401</v>
      </c>
      <c r="E14" s="46" t="s">
        <v>107</v>
      </c>
      <c r="F14" s="62">
        <f>'Stavební rozpočet'!F14</f>
        <v>1</v>
      </c>
      <c r="G14" s="171">
        <f>'VZT 1 (A)'!G137</f>
        <v>0</v>
      </c>
      <c r="H14" s="62">
        <f>F14*AE14</f>
        <v>0</v>
      </c>
      <c r="I14" s="62">
        <f>J14-H14</f>
        <v>0</v>
      </c>
      <c r="J14" s="62">
        <f>F14*G14</f>
        <v>0</v>
      </c>
      <c r="K14" s="62">
        <f>'Stavební rozpočet'!K14</f>
        <v>0</v>
      </c>
      <c r="L14" s="62">
        <f>F14*K14</f>
        <v>0</v>
      </c>
      <c r="M14" s="60"/>
      <c r="P14" s="38">
        <f>IF(AG14="5",J14,0)</f>
        <v>0</v>
      </c>
      <c r="R14" s="38">
        <f>IF(AG14="1",H14,0)</f>
        <v>0</v>
      </c>
      <c r="S14" s="38">
        <f>IF(AG14="1",I14,0)</f>
        <v>0</v>
      </c>
      <c r="T14" s="38">
        <f>IF(AG14="7",H14,0)</f>
        <v>0</v>
      </c>
      <c r="U14" s="38">
        <f>IF(AG14="7",I14,0)</f>
        <v>0</v>
      </c>
      <c r="V14" s="38">
        <f>IF(AG14="2",H14,0)</f>
        <v>0</v>
      </c>
      <c r="W14" s="38">
        <f>IF(AG14="2",I14,0)</f>
        <v>0</v>
      </c>
      <c r="X14" s="38">
        <f>IF(AG14="0",J14,0)</f>
        <v>0</v>
      </c>
      <c r="Y14" s="57" t="s">
        <v>79</v>
      </c>
      <c r="Z14" s="62">
        <f>IF(AD14=0,J14,0)</f>
        <v>0</v>
      </c>
      <c r="AA14" s="62">
        <f>IF(AD14=15,J14,0)</f>
        <v>0</v>
      </c>
      <c r="AB14" s="62">
        <f>IF(AD14=21,J14,0)</f>
        <v>0</v>
      </c>
      <c r="AD14" s="38">
        <v>21</v>
      </c>
      <c r="AE14" s="38">
        <f>'VZT 1 (A)'!G135</f>
        <v>0</v>
      </c>
      <c r="AF14" s="38">
        <f>'VZT 1 (A)'!G136</f>
        <v>0</v>
      </c>
      <c r="AG14" s="60" t="s">
        <v>122</v>
      </c>
      <c r="AM14" s="38">
        <f>F14*AE14</f>
        <v>0</v>
      </c>
      <c r="AN14" s="38">
        <f>F14*AF14</f>
        <v>0</v>
      </c>
      <c r="AO14" s="61" t="s">
        <v>123</v>
      </c>
      <c r="AP14" s="61" t="s">
        <v>124</v>
      </c>
      <c r="AQ14" s="57" t="s">
        <v>125</v>
      </c>
      <c r="AS14" s="38">
        <f>AM14+AN14</f>
        <v>0</v>
      </c>
      <c r="AT14" s="38">
        <f>G14/(100-AU14)*100</f>
        <v>0</v>
      </c>
      <c r="AU14" s="38">
        <v>0</v>
      </c>
      <c r="AV14" s="38">
        <f>L14</f>
        <v>0</v>
      </c>
    </row>
    <row r="15" spans="1:13" ht="12.75">
      <c r="A15" s="1"/>
      <c r="B15" s="1"/>
      <c r="C15" s="1"/>
      <c r="D15" s="51" t="s">
        <v>97</v>
      </c>
      <c r="E15" s="1"/>
      <c r="F15" s="53">
        <v>1</v>
      </c>
      <c r="G15" s="1"/>
      <c r="H15" s="1"/>
      <c r="I15" s="1"/>
      <c r="J15" s="1"/>
      <c r="K15" s="1"/>
      <c r="L15" s="1"/>
      <c r="M15" s="1"/>
    </row>
    <row r="16" spans="1:13" ht="12.75">
      <c r="A16" s="7"/>
      <c r="B16" s="7"/>
      <c r="C16" s="7"/>
      <c r="D16" s="7"/>
      <c r="E16" s="7"/>
      <c r="F16" s="7"/>
      <c r="G16" s="7"/>
      <c r="H16" s="419" t="s">
        <v>92</v>
      </c>
      <c r="I16" s="356"/>
      <c r="J16" s="41">
        <f>J13</f>
        <v>0</v>
      </c>
      <c r="K16" s="7"/>
      <c r="L16" s="7"/>
      <c r="M16" s="7"/>
    </row>
    <row r="17" ht="11.25" customHeight="1">
      <c r="A17" s="33" t="s">
        <v>18</v>
      </c>
    </row>
    <row r="18" spans="1:13" ht="12.75">
      <c r="A18" s="362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</row>
  </sheetData>
  <sheetProtection/>
  <mergeCells count="29">
    <mergeCell ref="H10:J10"/>
    <mergeCell ref="K10:L10"/>
    <mergeCell ref="H16:I16"/>
    <mergeCell ref="A18:M1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22"/>
  <sheetViews>
    <sheetView zoomScaleSheetLayoutView="85" zoomScalePageLayoutView="0" workbookViewId="0" topLeftCell="A1">
      <selection activeCell="H39" sqref="H39"/>
    </sheetView>
  </sheetViews>
  <sheetFormatPr defaultColWidth="9.140625" defaultRowHeight="12.75"/>
  <cols>
    <col min="1" max="1" width="6.7109375" style="281" customWidth="1"/>
    <col min="2" max="2" width="103.28125" style="282" customWidth="1"/>
    <col min="3" max="3" width="20.140625" style="282" customWidth="1"/>
    <col min="4" max="4" width="7.57421875" style="281" customWidth="1"/>
    <col min="5" max="5" width="6.421875" style="281" customWidth="1"/>
    <col min="6" max="6" width="10.57421875" style="283" customWidth="1"/>
    <col min="7" max="7" width="17.57421875" style="283" customWidth="1"/>
    <col min="8" max="8" width="11.7109375" style="283" bestFit="1" customWidth="1"/>
    <col min="9" max="11" width="9.140625" style="172" customWidth="1"/>
    <col min="12" max="12" width="9.7109375" style="172" bestFit="1" customWidth="1"/>
    <col min="13" max="16384" width="9.140625" style="172" customWidth="1"/>
  </cols>
  <sheetData>
    <row r="1" spans="1:8" ht="48" customHeight="1" thickBot="1">
      <c r="A1" s="431"/>
      <c r="B1" s="432"/>
      <c r="C1" s="432"/>
      <c r="D1" s="432"/>
      <c r="E1" s="432"/>
      <c r="F1" s="432"/>
      <c r="G1" s="432"/>
      <c r="H1" s="433"/>
    </row>
    <row r="2" spans="1:8" ht="18.75" customHeight="1" thickBot="1">
      <c r="A2" s="173"/>
      <c r="B2" s="174" t="s">
        <v>516</v>
      </c>
      <c r="C2" s="175"/>
      <c r="D2" s="176"/>
      <c r="E2" s="177" t="s">
        <v>517</v>
      </c>
      <c r="F2" s="178"/>
      <c r="G2" s="179" t="s">
        <v>518</v>
      </c>
      <c r="H2" s="180" t="s">
        <v>519</v>
      </c>
    </row>
    <row r="3" spans="1:8" ht="18" customHeight="1" thickBot="1">
      <c r="A3" s="181"/>
      <c r="B3" s="182" t="s">
        <v>520</v>
      </c>
      <c r="C3" s="183"/>
      <c r="D3" s="184"/>
      <c r="E3" s="434"/>
      <c r="F3" s="435"/>
      <c r="G3" s="185" t="s">
        <v>521</v>
      </c>
      <c r="H3" s="186" t="s">
        <v>522</v>
      </c>
    </row>
    <row r="4" spans="1:8" ht="15.75">
      <c r="A4" s="187"/>
      <c r="B4" s="188"/>
      <c r="C4" s="188"/>
      <c r="D4" s="189"/>
      <c r="E4" s="189"/>
      <c r="F4" s="190"/>
      <c r="G4" s="191"/>
      <c r="H4" s="192"/>
    </row>
    <row r="5" spans="1:8" s="197" customFormat="1" ht="16.5">
      <c r="A5" s="193" t="s">
        <v>523</v>
      </c>
      <c r="B5" s="194" t="s">
        <v>524</v>
      </c>
      <c r="C5" s="194" t="s">
        <v>525</v>
      </c>
      <c r="D5" s="194" t="s">
        <v>526</v>
      </c>
      <c r="E5" s="194" t="s">
        <v>527</v>
      </c>
      <c r="F5" s="195" t="s">
        <v>528</v>
      </c>
      <c r="G5" s="195" t="s">
        <v>529</v>
      </c>
      <c r="H5" s="196" t="s">
        <v>530</v>
      </c>
    </row>
    <row r="6" spans="1:8" s="197" customFormat="1" ht="16.5">
      <c r="A6" s="198"/>
      <c r="B6" s="199"/>
      <c r="C6" s="199"/>
      <c r="D6" s="199" t="s">
        <v>531</v>
      </c>
      <c r="E6" s="199" t="s">
        <v>532</v>
      </c>
      <c r="F6" s="200" t="s">
        <v>533</v>
      </c>
      <c r="G6" s="200" t="s">
        <v>533</v>
      </c>
      <c r="H6" s="201"/>
    </row>
    <row r="7" spans="1:12" ht="15.75">
      <c r="A7" s="202"/>
      <c r="B7" s="203"/>
      <c r="C7" s="204"/>
      <c r="D7" s="205"/>
      <c r="E7" s="206"/>
      <c r="F7" s="207"/>
      <c r="G7" s="208"/>
      <c r="H7" s="209"/>
      <c r="L7" s="210"/>
    </row>
    <row r="8" spans="1:8" ht="15.75">
      <c r="A8" s="211"/>
      <c r="B8" s="203" t="s">
        <v>534</v>
      </c>
      <c r="C8" s="204"/>
      <c r="D8" s="205"/>
      <c r="E8" s="212"/>
      <c r="F8" s="213"/>
      <c r="G8" s="208"/>
      <c r="H8" s="214"/>
    </row>
    <row r="9" spans="1:8" ht="141.75">
      <c r="A9" s="211">
        <v>1.01</v>
      </c>
      <c r="B9" s="215" t="s">
        <v>608</v>
      </c>
      <c r="C9" s="204"/>
      <c r="D9" s="205" t="s">
        <v>107</v>
      </c>
      <c r="E9" s="212">
        <v>1</v>
      </c>
      <c r="F9" s="346"/>
      <c r="G9" s="217">
        <f>+F9*E9</f>
        <v>0</v>
      </c>
      <c r="H9" s="214"/>
    </row>
    <row r="10" spans="1:8" ht="15.75">
      <c r="A10" s="211">
        <v>1.02</v>
      </c>
      <c r="B10" s="215" t="s">
        <v>535</v>
      </c>
      <c r="C10" s="204"/>
      <c r="D10" s="205" t="s">
        <v>107</v>
      </c>
      <c r="E10" s="218">
        <v>1</v>
      </c>
      <c r="F10" s="346"/>
      <c r="G10" s="217">
        <f aca="true" t="shared" si="0" ref="G10:G33">+F10*E10</f>
        <v>0</v>
      </c>
      <c r="H10" s="214"/>
    </row>
    <row r="11" spans="1:8" ht="31.5">
      <c r="A11" s="211">
        <v>1.03</v>
      </c>
      <c r="B11" s="219" t="s">
        <v>602</v>
      </c>
      <c r="C11" s="204"/>
      <c r="D11" s="205" t="s">
        <v>450</v>
      </c>
      <c r="E11" s="212">
        <v>1</v>
      </c>
      <c r="F11" s="346"/>
      <c r="G11" s="217">
        <f t="shared" si="0"/>
        <v>0</v>
      </c>
      <c r="H11" s="214"/>
    </row>
    <row r="12" spans="1:8" ht="15.75">
      <c r="A12" s="211">
        <v>1.04</v>
      </c>
      <c r="B12" s="220" t="s">
        <v>536</v>
      </c>
      <c r="C12" s="204"/>
      <c r="D12" s="205" t="s">
        <v>450</v>
      </c>
      <c r="E12" s="212">
        <v>1</v>
      </c>
      <c r="F12" s="346"/>
      <c r="G12" s="217">
        <f t="shared" si="0"/>
        <v>0</v>
      </c>
      <c r="H12" s="214"/>
    </row>
    <row r="13" spans="1:8" ht="15.75">
      <c r="A13" s="211">
        <v>1.05</v>
      </c>
      <c r="B13" s="220" t="s">
        <v>537</v>
      </c>
      <c r="C13" s="204"/>
      <c r="D13" s="205" t="s">
        <v>107</v>
      </c>
      <c r="E13" s="212">
        <v>1</v>
      </c>
      <c r="F13" s="346"/>
      <c r="G13" s="217">
        <f t="shared" si="0"/>
        <v>0</v>
      </c>
      <c r="H13" s="214"/>
    </row>
    <row r="14" spans="1:8" ht="15.75">
      <c r="A14" s="211">
        <v>1.06</v>
      </c>
      <c r="B14" s="215" t="s">
        <v>538</v>
      </c>
      <c r="C14" s="204"/>
      <c r="D14" s="205" t="s">
        <v>539</v>
      </c>
      <c r="E14" s="218">
        <v>9</v>
      </c>
      <c r="F14" s="346"/>
      <c r="G14" s="217">
        <f t="shared" si="0"/>
        <v>0</v>
      </c>
      <c r="H14" s="214"/>
    </row>
    <row r="15" spans="1:8" ht="15.75">
      <c r="A15" s="211">
        <v>1.07</v>
      </c>
      <c r="B15" s="220" t="s">
        <v>540</v>
      </c>
      <c r="C15" s="204"/>
      <c r="D15" s="205" t="s">
        <v>303</v>
      </c>
      <c r="E15" s="218">
        <v>12</v>
      </c>
      <c r="F15" s="346"/>
      <c r="G15" s="217">
        <f t="shared" si="0"/>
        <v>0</v>
      </c>
      <c r="H15" s="214"/>
    </row>
    <row r="16" spans="1:8" ht="15.75">
      <c r="A16" s="211">
        <v>1.08</v>
      </c>
      <c r="B16" s="220" t="s">
        <v>541</v>
      </c>
      <c r="C16" s="204"/>
      <c r="D16" s="205" t="s">
        <v>450</v>
      </c>
      <c r="E16" s="218">
        <v>7</v>
      </c>
      <c r="F16" s="346"/>
      <c r="G16" s="217">
        <f t="shared" si="0"/>
        <v>0</v>
      </c>
      <c r="H16" s="214"/>
    </row>
    <row r="17" spans="1:8" ht="15.75">
      <c r="A17" s="211">
        <v>1.09</v>
      </c>
      <c r="B17" s="215" t="s">
        <v>542</v>
      </c>
      <c r="C17" s="204"/>
      <c r="D17" s="205" t="s">
        <v>450</v>
      </c>
      <c r="E17" s="218">
        <v>2</v>
      </c>
      <c r="F17" s="346"/>
      <c r="G17" s="217">
        <f t="shared" si="0"/>
        <v>0</v>
      </c>
      <c r="H17" s="214"/>
    </row>
    <row r="18" spans="1:8" ht="15.75">
      <c r="A18" s="211">
        <v>1.1</v>
      </c>
      <c r="B18" s="215" t="s">
        <v>543</v>
      </c>
      <c r="C18" s="204"/>
      <c r="D18" s="205" t="s">
        <v>539</v>
      </c>
      <c r="E18" s="218">
        <v>12</v>
      </c>
      <c r="F18" s="346"/>
      <c r="G18" s="217">
        <f t="shared" si="0"/>
        <v>0</v>
      </c>
      <c r="H18" s="214"/>
    </row>
    <row r="19" spans="1:8" ht="15.75">
      <c r="A19" s="211">
        <v>1.11</v>
      </c>
      <c r="B19" s="220" t="s">
        <v>544</v>
      </c>
      <c r="C19" s="204"/>
      <c r="D19" s="205" t="s">
        <v>450</v>
      </c>
      <c r="E19" s="218">
        <v>3</v>
      </c>
      <c r="F19" s="346"/>
      <c r="G19" s="217">
        <f>+F19*E19</f>
        <v>0</v>
      </c>
      <c r="H19" s="214"/>
    </row>
    <row r="20" spans="1:8" ht="15.75">
      <c r="A20" s="211">
        <v>1.12</v>
      </c>
      <c r="B20" s="215" t="s">
        <v>545</v>
      </c>
      <c r="C20" s="204"/>
      <c r="D20" s="205" t="s">
        <v>539</v>
      </c>
      <c r="E20" s="218">
        <v>6</v>
      </c>
      <c r="F20" s="346"/>
      <c r="G20" s="217">
        <f t="shared" si="0"/>
        <v>0</v>
      </c>
      <c r="H20" s="214"/>
    </row>
    <row r="21" spans="1:8" ht="15.75">
      <c r="A21" s="211">
        <v>1.13</v>
      </c>
      <c r="B21" s="215" t="s">
        <v>546</v>
      </c>
      <c r="C21" s="204"/>
      <c r="D21" s="205" t="s">
        <v>450</v>
      </c>
      <c r="E21" s="218">
        <v>2</v>
      </c>
      <c r="F21" s="346"/>
      <c r="G21" s="217">
        <f t="shared" si="0"/>
        <v>0</v>
      </c>
      <c r="H21" s="214"/>
    </row>
    <row r="22" spans="1:8" ht="15.75">
      <c r="A22" s="211">
        <v>1.14</v>
      </c>
      <c r="B22" s="215" t="s">
        <v>547</v>
      </c>
      <c r="C22" s="204"/>
      <c r="D22" s="205" t="s">
        <v>450</v>
      </c>
      <c r="E22" s="218">
        <v>3</v>
      </c>
      <c r="F22" s="346"/>
      <c r="G22" s="217">
        <f t="shared" si="0"/>
        <v>0</v>
      </c>
      <c r="H22" s="214"/>
    </row>
    <row r="23" spans="1:8" ht="15.75">
      <c r="A23" s="211">
        <v>1.15</v>
      </c>
      <c r="B23" s="215" t="s">
        <v>548</v>
      </c>
      <c r="C23" s="204"/>
      <c r="D23" s="205" t="s">
        <v>450</v>
      </c>
      <c r="E23" s="218">
        <v>3</v>
      </c>
      <c r="F23" s="346"/>
      <c r="G23" s="217">
        <f t="shared" si="0"/>
        <v>0</v>
      </c>
      <c r="H23" s="214"/>
    </row>
    <row r="24" spans="1:8" ht="15.75">
      <c r="A24" s="211">
        <v>1.16</v>
      </c>
      <c r="B24" s="215" t="s">
        <v>549</v>
      </c>
      <c r="C24" s="204"/>
      <c r="D24" s="205" t="s">
        <v>303</v>
      </c>
      <c r="E24" s="218">
        <v>37</v>
      </c>
      <c r="F24" s="346"/>
      <c r="G24" s="217">
        <f t="shared" si="0"/>
        <v>0</v>
      </c>
      <c r="H24" s="214"/>
    </row>
    <row r="25" spans="1:8" ht="15.75">
      <c r="A25" s="211">
        <v>1.17</v>
      </c>
      <c r="B25" s="215" t="s">
        <v>550</v>
      </c>
      <c r="C25" s="204"/>
      <c r="D25" s="205" t="s">
        <v>303</v>
      </c>
      <c r="E25" s="218">
        <v>13</v>
      </c>
      <c r="F25" s="346"/>
      <c r="G25" s="217">
        <f t="shared" si="0"/>
        <v>0</v>
      </c>
      <c r="H25" s="214"/>
    </row>
    <row r="26" spans="1:8" ht="15.75">
      <c r="A26" s="211">
        <v>1.18</v>
      </c>
      <c r="B26" s="215" t="s">
        <v>551</v>
      </c>
      <c r="C26" s="204"/>
      <c r="D26" s="205" t="s">
        <v>450</v>
      </c>
      <c r="E26" s="218">
        <v>9</v>
      </c>
      <c r="F26" s="346"/>
      <c r="G26" s="217">
        <f t="shared" si="0"/>
        <v>0</v>
      </c>
      <c r="H26" s="214"/>
    </row>
    <row r="27" spans="1:8" ht="15.75">
      <c r="A27" s="211">
        <v>1.19</v>
      </c>
      <c r="B27" s="215" t="s">
        <v>552</v>
      </c>
      <c r="C27" s="204"/>
      <c r="D27" s="205" t="s">
        <v>450</v>
      </c>
      <c r="E27" s="218">
        <v>9</v>
      </c>
      <c r="F27" s="346"/>
      <c r="G27" s="217">
        <f t="shared" si="0"/>
        <v>0</v>
      </c>
      <c r="H27" s="214"/>
    </row>
    <row r="28" spans="1:8" ht="15.75">
      <c r="A28" s="211">
        <v>1.2</v>
      </c>
      <c r="B28" s="215" t="s">
        <v>553</v>
      </c>
      <c r="C28" s="204"/>
      <c r="D28" s="205" t="s">
        <v>450</v>
      </c>
      <c r="E28" s="218">
        <v>1</v>
      </c>
      <c r="F28" s="346"/>
      <c r="G28" s="217">
        <f>+F28*E28</f>
        <v>0</v>
      </c>
      <c r="H28" s="214"/>
    </row>
    <row r="29" spans="1:8" ht="43.5" customHeight="1">
      <c r="A29" s="211">
        <v>1.21</v>
      </c>
      <c r="B29" s="221" t="s">
        <v>554</v>
      </c>
      <c r="C29" s="204"/>
      <c r="D29" s="205" t="s">
        <v>450</v>
      </c>
      <c r="E29" s="218">
        <v>1</v>
      </c>
      <c r="F29" s="346"/>
      <c r="G29" s="217">
        <f t="shared" si="0"/>
        <v>0</v>
      </c>
      <c r="H29" s="214"/>
    </row>
    <row r="30" spans="1:8" ht="45" customHeight="1">
      <c r="A30" s="211">
        <v>1.22</v>
      </c>
      <c r="B30" s="221" t="s">
        <v>555</v>
      </c>
      <c r="C30" s="204"/>
      <c r="D30" s="205" t="s">
        <v>450</v>
      </c>
      <c r="E30" s="218">
        <v>1</v>
      </c>
      <c r="F30" s="346"/>
      <c r="G30" s="217">
        <f t="shared" si="0"/>
        <v>0</v>
      </c>
      <c r="H30" s="214"/>
    </row>
    <row r="31" spans="1:8" ht="15.75">
      <c r="A31" s="211">
        <v>1.23</v>
      </c>
      <c r="B31" s="220" t="s">
        <v>556</v>
      </c>
      <c r="C31" s="204"/>
      <c r="D31" s="205" t="s">
        <v>107</v>
      </c>
      <c r="E31" s="212">
        <v>1</v>
      </c>
      <c r="F31" s="346"/>
      <c r="G31" s="217">
        <f t="shared" si="0"/>
        <v>0</v>
      </c>
      <c r="H31" s="214"/>
    </row>
    <row r="32" spans="1:8" ht="15.75">
      <c r="A32" s="211">
        <v>1.24</v>
      </c>
      <c r="B32" s="220" t="s">
        <v>557</v>
      </c>
      <c r="C32" s="204"/>
      <c r="D32" s="205" t="s">
        <v>107</v>
      </c>
      <c r="E32" s="212">
        <v>1</v>
      </c>
      <c r="F32" s="346"/>
      <c r="G32" s="217">
        <f t="shared" si="0"/>
        <v>0</v>
      </c>
      <c r="H32" s="214"/>
    </row>
    <row r="33" spans="1:8" ht="15.75">
      <c r="A33" s="211">
        <v>1.25</v>
      </c>
      <c r="B33" s="220" t="s">
        <v>558</v>
      </c>
      <c r="C33" s="204"/>
      <c r="D33" s="205" t="s">
        <v>539</v>
      </c>
      <c r="E33" s="205">
        <v>20</v>
      </c>
      <c r="F33" s="346"/>
      <c r="G33" s="217">
        <f t="shared" si="0"/>
        <v>0</v>
      </c>
      <c r="H33" s="214"/>
    </row>
    <row r="34" spans="1:8" ht="15.75">
      <c r="A34" s="211"/>
      <c r="B34" s="220"/>
      <c r="C34" s="204"/>
      <c r="D34" s="205"/>
      <c r="E34" s="212"/>
      <c r="F34" s="216"/>
      <c r="G34" s="217"/>
      <c r="H34" s="214"/>
    </row>
    <row r="35" spans="1:8" ht="15.75">
      <c r="A35" s="211"/>
      <c r="B35" s="222" t="s">
        <v>559</v>
      </c>
      <c r="C35" s="204"/>
      <c r="D35" s="205"/>
      <c r="E35" s="212"/>
      <c r="F35" s="216"/>
      <c r="G35" s="223">
        <f>+SUM(G9:G33)</f>
        <v>0</v>
      </c>
      <c r="H35" s="214"/>
    </row>
    <row r="36" spans="1:8" ht="15.75">
      <c r="A36" s="211"/>
      <c r="B36" s="220"/>
      <c r="C36" s="204"/>
      <c r="D36" s="205"/>
      <c r="E36" s="212"/>
      <c r="F36" s="216"/>
      <c r="G36" s="217"/>
      <c r="H36" s="214"/>
    </row>
    <row r="37" spans="1:8" ht="15.75">
      <c r="A37" s="211"/>
      <c r="B37" s="224" t="s">
        <v>560</v>
      </c>
      <c r="C37" s="204"/>
      <c r="D37" s="205"/>
      <c r="E37" s="212"/>
      <c r="F37" s="216"/>
      <c r="G37" s="217"/>
      <c r="H37" s="214"/>
    </row>
    <row r="38" spans="1:8" ht="141.75">
      <c r="A38" s="211">
        <v>2.01</v>
      </c>
      <c r="B38" s="215" t="s">
        <v>609</v>
      </c>
      <c r="C38" s="204"/>
      <c r="D38" s="205" t="s">
        <v>107</v>
      </c>
      <c r="E38" s="212">
        <v>1</v>
      </c>
      <c r="F38" s="346"/>
      <c r="G38" s="217">
        <f>+F38*E38</f>
        <v>0</v>
      </c>
      <c r="H38" s="214"/>
    </row>
    <row r="39" spans="1:8" ht="15.75">
      <c r="A39" s="211">
        <v>2.02</v>
      </c>
      <c r="B39" s="215" t="s">
        <v>535</v>
      </c>
      <c r="C39" s="204"/>
      <c r="D39" s="205" t="s">
        <v>107</v>
      </c>
      <c r="E39" s="218">
        <v>1</v>
      </c>
      <c r="F39" s="346"/>
      <c r="G39" s="217">
        <f aca="true" t="shared" si="1" ref="G39:G54">+F39*E39</f>
        <v>0</v>
      </c>
      <c r="H39" s="214"/>
    </row>
    <row r="40" spans="1:8" ht="31.5">
      <c r="A40" s="211">
        <v>2.03</v>
      </c>
      <c r="B40" s="219" t="s">
        <v>602</v>
      </c>
      <c r="C40" s="204"/>
      <c r="D40" s="205" t="s">
        <v>450</v>
      </c>
      <c r="E40" s="212">
        <v>1</v>
      </c>
      <c r="F40" s="346"/>
      <c r="G40" s="217">
        <f t="shared" si="1"/>
        <v>0</v>
      </c>
      <c r="H40" s="214"/>
    </row>
    <row r="41" spans="1:8" ht="15.75">
      <c r="A41" s="211">
        <v>2.04</v>
      </c>
      <c r="B41" s="220" t="s">
        <v>536</v>
      </c>
      <c r="C41" s="204"/>
      <c r="D41" s="205" t="s">
        <v>450</v>
      </c>
      <c r="E41" s="212">
        <v>1</v>
      </c>
      <c r="F41" s="346"/>
      <c r="G41" s="217">
        <f t="shared" si="1"/>
        <v>0</v>
      </c>
      <c r="H41" s="214"/>
    </row>
    <row r="42" spans="1:8" ht="15.75">
      <c r="A42" s="211">
        <v>2.05</v>
      </c>
      <c r="B42" s="220" t="s">
        <v>537</v>
      </c>
      <c r="C42" s="204"/>
      <c r="D42" s="205" t="s">
        <v>107</v>
      </c>
      <c r="E42" s="212">
        <v>1</v>
      </c>
      <c r="F42" s="346"/>
      <c r="G42" s="217">
        <f t="shared" si="1"/>
        <v>0</v>
      </c>
      <c r="H42" s="214"/>
    </row>
    <row r="43" spans="1:8" ht="15.75">
      <c r="A43" s="211">
        <v>2.06</v>
      </c>
      <c r="B43" s="215" t="s">
        <v>538</v>
      </c>
      <c r="C43" s="204"/>
      <c r="D43" s="205" t="s">
        <v>539</v>
      </c>
      <c r="E43" s="218">
        <v>9</v>
      </c>
      <c r="F43" s="346"/>
      <c r="G43" s="217">
        <f t="shared" si="1"/>
        <v>0</v>
      </c>
      <c r="H43" s="214"/>
    </row>
    <row r="44" spans="1:8" ht="15.75">
      <c r="A44" s="211">
        <v>2.07</v>
      </c>
      <c r="B44" s="220" t="s">
        <v>540</v>
      </c>
      <c r="C44" s="204"/>
      <c r="D44" s="205" t="s">
        <v>303</v>
      </c>
      <c r="E44" s="218">
        <v>12</v>
      </c>
      <c r="F44" s="346"/>
      <c r="G44" s="217">
        <f t="shared" si="1"/>
        <v>0</v>
      </c>
      <c r="H44" s="214"/>
    </row>
    <row r="45" spans="1:8" ht="15.75">
      <c r="A45" s="211">
        <v>2.08</v>
      </c>
      <c r="B45" s="220" t="s">
        <v>541</v>
      </c>
      <c r="C45" s="204"/>
      <c r="D45" s="205" t="s">
        <v>450</v>
      </c>
      <c r="E45" s="218">
        <v>8</v>
      </c>
      <c r="F45" s="346"/>
      <c r="G45" s="217">
        <f t="shared" si="1"/>
        <v>0</v>
      </c>
      <c r="H45" s="214"/>
    </row>
    <row r="46" spans="1:8" ht="15.75">
      <c r="A46" s="211">
        <v>2.09</v>
      </c>
      <c r="B46" s="215" t="s">
        <v>542</v>
      </c>
      <c r="C46" s="204"/>
      <c r="D46" s="205" t="s">
        <v>450</v>
      </c>
      <c r="E46" s="218">
        <v>2</v>
      </c>
      <c r="F46" s="346"/>
      <c r="G46" s="217">
        <f t="shared" si="1"/>
        <v>0</v>
      </c>
      <c r="H46" s="214"/>
    </row>
    <row r="47" spans="1:8" ht="15.75">
      <c r="A47" s="211">
        <v>2.1</v>
      </c>
      <c r="B47" s="215" t="s">
        <v>549</v>
      </c>
      <c r="C47" s="204"/>
      <c r="D47" s="205" t="s">
        <v>303</v>
      </c>
      <c r="E47" s="218">
        <v>22</v>
      </c>
      <c r="F47" s="346"/>
      <c r="G47" s="217">
        <f t="shared" si="1"/>
        <v>0</v>
      </c>
      <c r="H47" s="214"/>
    </row>
    <row r="48" spans="1:8" ht="15.75">
      <c r="A48" s="211">
        <v>2.11</v>
      </c>
      <c r="B48" s="215" t="s">
        <v>550</v>
      </c>
      <c r="C48" s="204"/>
      <c r="D48" s="205" t="s">
        <v>303</v>
      </c>
      <c r="E48" s="218">
        <v>5</v>
      </c>
      <c r="F48" s="346"/>
      <c r="G48" s="217">
        <f t="shared" si="1"/>
        <v>0</v>
      </c>
      <c r="H48" s="214"/>
    </row>
    <row r="49" spans="1:8" ht="15.75">
      <c r="A49" s="211">
        <v>2.12</v>
      </c>
      <c r="B49" s="215" t="s">
        <v>551</v>
      </c>
      <c r="C49" s="204"/>
      <c r="D49" s="205" t="s">
        <v>450</v>
      </c>
      <c r="E49" s="218">
        <v>7</v>
      </c>
      <c r="F49" s="346"/>
      <c r="G49" s="217">
        <f t="shared" si="1"/>
        <v>0</v>
      </c>
      <c r="H49" s="214"/>
    </row>
    <row r="50" spans="1:8" ht="15.75">
      <c r="A50" s="211">
        <v>2.13</v>
      </c>
      <c r="B50" s="215" t="s">
        <v>552</v>
      </c>
      <c r="C50" s="204"/>
      <c r="D50" s="205" t="s">
        <v>450</v>
      </c>
      <c r="E50" s="218">
        <v>7</v>
      </c>
      <c r="F50" s="346"/>
      <c r="G50" s="217">
        <f t="shared" si="1"/>
        <v>0</v>
      </c>
      <c r="H50" s="214"/>
    </row>
    <row r="51" spans="1:8" ht="15.75">
      <c r="A51" s="211">
        <v>2.14</v>
      </c>
      <c r="B51" s="215" t="s">
        <v>553</v>
      </c>
      <c r="C51" s="204"/>
      <c r="D51" s="205" t="s">
        <v>450</v>
      </c>
      <c r="E51" s="218">
        <v>1</v>
      </c>
      <c r="F51" s="346"/>
      <c r="G51" s="217">
        <f t="shared" si="1"/>
        <v>0</v>
      </c>
      <c r="H51" s="214"/>
    </row>
    <row r="52" spans="1:8" ht="48" customHeight="1">
      <c r="A52" s="211">
        <v>2.15</v>
      </c>
      <c r="B52" s="221" t="s">
        <v>554</v>
      </c>
      <c r="C52" s="204"/>
      <c r="D52" s="205" t="s">
        <v>450</v>
      </c>
      <c r="E52" s="218">
        <v>2</v>
      </c>
      <c r="F52" s="346"/>
      <c r="G52" s="217">
        <f t="shared" si="1"/>
        <v>0</v>
      </c>
      <c r="H52" s="214"/>
    </row>
    <row r="53" spans="1:8" ht="15.75">
      <c r="A53" s="211">
        <v>2.16</v>
      </c>
      <c r="B53" s="220" t="s">
        <v>556</v>
      </c>
      <c r="C53" s="204"/>
      <c r="D53" s="205" t="s">
        <v>107</v>
      </c>
      <c r="E53" s="212">
        <v>2</v>
      </c>
      <c r="F53" s="346"/>
      <c r="G53" s="217">
        <f t="shared" si="1"/>
        <v>0</v>
      </c>
      <c r="H53" s="214"/>
    </row>
    <row r="54" spans="1:8" ht="15.75">
      <c r="A54" s="211">
        <v>2.17</v>
      </c>
      <c r="B54" s="220" t="s">
        <v>558</v>
      </c>
      <c r="C54" s="204"/>
      <c r="D54" s="205" t="s">
        <v>539</v>
      </c>
      <c r="E54" s="205">
        <v>5</v>
      </c>
      <c r="F54" s="346"/>
      <c r="G54" s="217">
        <f t="shared" si="1"/>
        <v>0</v>
      </c>
      <c r="H54" s="214"/>
    </row>
    <row r="55" spans="1:8" ht="15.75">
      <c r="A55" s="211"/>
      <c r="B55" s="215"/>
      <c r="C55" s="204"/>
      <c r="D55" s="205"/>
      <c r="E55" s="212"/>
      <c r="F55" s="216"/>
      <c r="G55" s="217"/>
      <c r="H55" s="214"/>
    </row>
    <row r="56" spans="1:8" ht="15.75">
      <c r="A56" s="211"/>
      <c r="B56" s="222" t="s">
        <v>559</v>
      </c>
      <c r="C56" s="204"/>
      <c r="D56" s="205"/>
      <c r="E56" s="212"/>
      <c r="F56" s="216"/>
      <c r="G56" s="223">
        <f>+SUM(G38:G54)</f>
        <v>0</v>
      </c>
      <c r="H56" s="214"/>
    </row>
    <row r="57" spans="1:8" ht="15.75">
      <c r="A57" s="211"/>
      <c r="B57" s="222"/>
      <c r="C57" s="204"/>
      <c r="D57" s="205"/>
      <c r="E57" s="212"/>
      <c r="F57" s="216"/>
      <c r="G57" s="217"/>
      <c r="H57" s="214"/>
    </row>
    <row r="58" spans="1:8" ht="15.75">
      <c r="A58" s="211"/>
      <c r="B58" s="224" t="s">
        <v>561</v>
      </c>
      <c r="C58" s="204"/>
      <c r="D58" s="205"/>
      <c r="E58" s="212"/>
      <c r="F58" s="216"/>
      <c r="G58" s="217"/>
      <c r="H58" s="214"/>
    </row>
    <row r="59" spans="1:8" ht="157.5">
      <c r="A59" s="211">
        <v>3.01</v>
      </c>
      <c r="B59" s="215" t="s">
        <v>610</v>
      </c>
      <c r="C59" s="204"/>
      <c r="D59" s="205" t="s">
        <v>107</v>
      </c>
      <c r="E59" s="212">
        <v>1</v>
      </c>
      <c r="F59" s="346"/>
      <c r="G59" s="217">
        <f>+F59*E59</f>
        <v>0</v>
      </c>
      <c r="H59" s="214"/>
    </row>
    <row r="60" spans="1:8" ht="15.75">
      <c r="A60" s="211">
        <v>3.02</v>
      </c>
      <c r="B60" s="215" t="s">
        <v>535</v>
      </c>
      <c r="C60" s="204"/>
      <c r="D60" s="205" t="s">
        <v>107</v>
      </c>
      <c r="E60" s="218">
        <v>1</v>
      </c>
      <c r="F60" s="346"/>
      <c r="G60" s="217">
        <f aca="true" t="shared" si="2" ref="G60:G79">+F60*E60</f>
        <v>0</v>
      </c>
      <c r="H60" s="214"/>
    </row>
    <row r="61" spans="1:8" ht="31.5">
      <c r="A61" s="211">
        <v>3.03</v>
      </c>
      <c r="B61" s="219" t="s">
        <v>603</v>
      </c>
      <c r="C61" s="204"/>
      <c r="D61" s="205" t="s">
        <v>450</v>
      </c>
      <c r="E61" s="212">
        <v>2</v>
      </c>
      <c r="F61" s="346"/>
      <c r="G61" s="217">
        <f t="shared" si="2"/>
        <v>0</v>
      </c>
      <c r="H61" s="214"/>
    </row>
    <row r="62" spans="1:8" ht="15.75">
      <c r="A62" s="211">
        <v>3.04</v>
      </c>
      <c r="B62" s="220" t="s">
        <v>536</v>
      </c>
      <c r="C62" s="204"/>
      <c r="D62" s="205" t="s">
        <v>450</v>
      </c>
      <c r="E62" s="212">
        <v>1</v>
      </c>
      <c r="F62" s="346"/>
      <c r="G62" s="217">
        <f t="shared" si="2"/>
        <v>0</v>
      </c>
      <c r="H62" s="214"/>
    </row>
    <row r="63" spans="1:8" ht="15.75">
      <c r="A63" s="211">
        <v>3.05</v>
      </c>
      <c r="B63" s="220" t="s">
        <v>537</v>
      </c>
      <c r="C63" s="204"/>
      <c r="D63" s="205" t="s">
        <v>107</v>
      </c>
      <c r="E63" s="212">
        <v>1</v>
      </c>
      <c r="F63" s="346"/>
      <c r="G63" s="217">
        <f t="shared" si="2"/>
        <v>0</v>
      </c>
      <c r="H63" s="214"/>
    </row>
    <row r="64" spans="1:8" ht="15.75">
      <c r="A64" s="211">
        <v>3.06</v>
      </c>
      <c r="B64" s="215" t="s">
        <v>562</v>
      </c>
      <c r="C64" s="204"/>
      <c r="D64" s="205" t="s">
        <v>539</v>
      </c>
      <c r="E64" s="218">
        <v>15</v>
      </c>
      <c r="F64" s="346"/>
      <c r="G64" s="217">
        <f t="shared" si="2"/>
        <v>0</v>
      </c>
      <c r="H64" s="214"/>
    </row>
    <row r="65" spans="1:8" ht="15.75">
      <c r="A65" s="211">
        <v>3.07</v>
      </c>
      <c r="B65" s="215" t="s">
        <v>550</v>
      </c>
      <c r="C65" s="204"/>
      <c r="D65" s="205" t="s">
        <v>303</v>
      </c>
      <c r="E65" s="218">
        <v>24</v>
      </c>
      <c r="F65" s="346"/>
      <c r="G65" s="217">
        <f t="shared" si="2"/>
        <v>0</v>
      </c>
      <c r="H65" s="214"/>
    </row>
    <row r="66" spans="1:8" ht="15.75">
      <c r="A66" s="211">
        <v>3.08</v>
      </c>
      <c r="B66" s="220" t="s">
        <v>563</v>
      </c>
      <c r="C66" s="204"/>
      <c r="D66" s="205" t="s">
        <v>450</v>
      </c>
      <c r="E66" s="218">
        <v>3</v>
      </c>
      <c r="F66" s="346"/>
      <c r="G66" s="217">
        <f t="shared" si="2"/>
        <v>0</v>
      </c>
      <c r="H66" s="214"/>
    </row>
    <row r="67" spans="1:8" ht="15.75">
      <c r="A67" s="211">
        <v>3.09</v>
      </c>
      <c r="B67" s="220" t="s">
        <v>564</v>
      </c>
      <c r="C67" s="204"/>
      <c r="D67" s="205" t="s">
        <v>450</v>
      </c>
      <c r="E67" s="218">
        <v>4</v>
      </c>
      <c r="F67" s="346"/>
      <c r="G67" s="217">
        <f t="shared" si="2"/>
        <v>0</v>
      </c>
      <c r="H67" s="214"/>
    </row>
    <row r="68" spans="1:8" ht="15.75">
      <c r="A68" s="211">
        <v>3.1</v>
      </c>
      <c r="B68" s="215" t="s">
        <v>543</v>
      </c>
      <c r="C68" s="204"/>
      <c r="D68" s="205" t="s">
        <v>539</v>
      </c>
      <c r="E68" s="218">
        <v>9</v>
      </c>
      <c r="F68" s="346"/>
      <c r="G68" s="217">
        <f t="shared" si="2"/>
        <v>0</v>
      </c>
      <c r="H68" s="214"/>
    </row>
    <row r="69" spans="1:8" ht="15.75">
      <c r="A69" s="211">
        <v>3.11</v>
      </c>
      <c r="B69" s="220" t="s">
        <v>565</v>
      </c>
      <c r="C69" s="204"/>
      <c r="D69" s="205" t="s">
        <v>450</v>
      </c>
      <c r="E69" s="218">
        <v>5</v>
      </c>
      <c r="F69" s="346"/>
      <c r="G69" s="217">
        <f t="shared" si="2"/>
        <v>0</v>
      </c>
      <c r="H69" s="214"/>
    </row>
    <row r="70" spans="1:8" ht="15.75">
      <c r="A70" s="211">
        <v>3.12</v>
      </c>
      <c r="B70" s="215" t="s">
        <v>545</v>
      </c>
      <c r="C70" s="204"/>
      <c r="D70" s="205" t="s">
        <v>539</v>
      </c>
      <c r="E70" s="218">
        <v>15</v>
      </c>
      <c r="F70" s="346"/>
      <c r="G70" s="217">
        <f t="shared" si="2"/>
        <v>0</v>
      </c>
      <c r="H70" s="214"/>
    </row>
    <row r="71" spans="1:8" ht="15.75">
      <c r="A71" s="211">
        <v>3.13</v>
      </c>
      <c r="B71" s="220" t="s">
        <v>566</v>
      </c>
      <c r="C71" s="204"/>
      <c r="D71" s="205" t="s">
        <v>450</v>
      </c>
      <c r="E71" s="218">
        <v>1</v>
      </c>
      <c r="F71" s="346"/>
      <c r="G71" s="217">
        <f t="shared" si="2"/>
        <v>0</v>
      </c>
      <c r="H71" s="214"/>
    </row>
    <row r="72" spans="1:8" ht="15.75">
      <c r="A72" s="211">
        <v>3.14</v>
      </c>
      <c r="B72" s="220" t="s">
        <v>567</v>
      </c>
      <c r="C72" s="204"/>
      <c r="D72" s="205" t="s">
        <v>450</v>
      </c>
      <c r="E72" s="218">
        <v>8</v>
      </c>
      <c r="F72" s="216"/>
      <c r="G72" s="217"/>
      <c r="H72" s="214"/>
    </row>
    <row r="73" spans="1:8" ht="15.75">
      <c r="A73" s="211">
        <v>3.15</v>
      </c>
      <c r="B73" s="215" t="s">
        <v>568</v>
      </c>
      <c r="C73" s="204"/>
      <c r="D73" s="205" t="s">
        <v>450</v>
      </c>
      <c r="E73" s="218">
        <v>10</v>
      </c>
      <c r="F73" s="346"/>
      <c r="G73" s="217">
        <f t="shared" si="2"/>
        <v>0</v>
      </c>
      <c r="H73" s="214"/>
    </row>
    <row r="74" spans="1:8" ht="15.75">
      <c r="A74" s="211">
        <v>3.16</v>
      </c>
      <c r="B74" s="215" t="s">
        <v>569</v>
      </c>
      <c r="C74" s="204"/>
      <c r="D74" s="205" t="s">
        <v>450</v>
      </c>
      <c r="E74" s="218">
        <v>2</v>
      </c>
      <c r="F74" s="346"/>
      <c r="G74" s="217">
        <f t="shared" si="2"/>
        <v>0</v>
      </c>
      <c r="H74" s="214"/>
    </row>
    <row r="75" spans="1:8" ht="15.75">
      <c r="A75" s="211">
        <v>3.17</v>
      </c>
      <c r="B75" s="215" t="s">
        <v>570</v>
      </c>
      <c r="C75" s="204"/>
      <c r="D75" s="205" t="s">
        <v>450</v>
      </c>
      <c r="E75" s="218">
        <v>3</v>
      </c>
      <c r="F75" s="346"/>
      <c r="G75" s="217">
        <f t="shared" si="2"/>
        <v>0</v>
      </c>
      <c r="H75" s="214"/>
    </row>
    <row r="76" spans="1:8" ht="15.75">
      <c r="A76" s="211">
        <v>3.18</v>
      </c>
      <c r="B76" s="215" t="s">
        <v>548</v>
      </c>
      <c r="C76" s="204"/>
      <c r="D76" s="205" t="s">
        <v>450</v>
      </c>
      <c r="E76" s="218">
        <v>3</v>
      </c>
      <c r="F76" s="346"/>
      <c r="G76" s="217">
        <f t="shared" si="2"/>
        <v>0</v>
      </c>
      <c r="H76" s="214"/>
    </row>
    <row r="77" spans="1:8" ht="15.75">
      <c r="A77" s="211">
        <v>3.19</v>
      </c>
      <c r="B77" s="215" t="s">
        <v>549</v>
      </c>
      <c r="C77" s="204"/>
      <c r="D77" s="205" t="s">
        <v>303</v>
      </c>
      <c r="E77" s="218">
        <v>46</v>
      </c>
      <c r="F77" s="346"/>
      <c r="G77" s="217">
        <f t="shared" si="2"/>
        <v>0</v>
      </c>
      <c r="H77" s="214"/>
    </row>
    <row r="78" spans="1:8" ht="15.75">
      <c r="A78" s="211">
        <v>3.2</v>
      </c>
      <c r="B78" s="215" t="s">
        <v>571</v>
      </c>
      <c r="C78" s="204"/>
      <c r="D78" s="205" t="s">
        <v>303</v>
      </c>
      <c r="E78" s="218">
        <v>26</v>
      </c>
      <c r="F78" s="346"/>
      <c r="G78" s="217">
        <f t="shared" si="2"/>
        <v>0</v>
      </c>
      <c r="H78" s="214"/>
    </row>
    <row r="79" spans="1:8" ht="15.75">
      <c r="A79" s="211">
        <v>3.21</v>
      </c>
      <c r="B79" s="215" t="s">
        <v>572</v>
      </c>
      <c r="C79" s="204"/>
      <c r="D79" s="205" t="s">
        <v>450</v>
      </c>
      <c r="E79" s="218">
        <v>2</v>
      </c>
      <c r="F79" s="346"/>
      <c r="G79" s="217">
        <f t="shared" si="2"/>
        <v>0</v>
      </c>
      <c r="H79" s="214"/>
    </row>
    <row r="80" spans="1:8" ht="15.75">
      <c r="A80" s="211">
        <v>3.22</v>
      </c>
      <c r="B80" s="215" t="s">
        <v>573</v>
      </c>
      <c r="C80" s="204"/>
      <c r="D80" s="205" t="s">
        <v>107</v>
      </c>
      <c r="E80" s="218">
        <v>1</v>
      </c>
      <c r="F80" s="346"/>
      <c r="G80" s="217">
        <f>+F80*E80</f>
        <v>0</v>
      </c>
      <c r="H80" s="214"/>
    </row>
    <row r="81" spans="1:8" ht="42" customHeight="1">
      <c r="A81" s="211">
        <v>3.23</v>
      </c>
      <c r="B81" s="221" t="s">
        <v>574</v>
      </c>
      <c r="C81" s="204"/>
      <c r="D81" s="205" t="s">
        <v>450</v>
      </c>
      <c r="E81" s="218">
        <v>1</v>
      </c>
      <c r="F81" s="346"/>
      <c r="G81" s="217">
        <f>+F81*E81</f>
        <v>0</v>
      </c>
      <c r="H81" s="214"/>
    </row>
    <row r="82" spans="1:8" ht="37.5" customHeight="1">
      <c r="A82" s="211">
        <v>3.24</v>
      </c>
      <c r="B82" s="221" t="s">
        <v>575</v>
      </c>
      <c r="C82" s="204"/>
      <c r="D82" s="205" t="s">
        <v>450</v>
      </c>
      <c r="E82" s="218">
        <v>1</v>
      </c>
      <c r="F82" s="346"/>
      <c r="G82" s="217">
        <f>+F82*E82</f>
        <v>0</v>
      </c>
      <c r="H82" s="214"/>
    </row>
    <row r="83" spans="1:8" ht="43.5" customHeight="1">
      <c r="A83" s="211">
        <v>3.25000000000001</v>
      </c>
      <c r="B83" s="221" t="s">
        <v>576</v>
      </c>
      <c r="C83" s="204"/>
      <c r="D83" s="205" t="s">
        <v>450</v>
      </c>
      <c r="E83" s="218">
        <v>2</v>
      </c>
      <c r="F83" s="346"/>
      <c r="G83" s="217">
        <f>+F83*E83</f>
        <v>0</v>
      </c>
      <c r="H83" s="214"/>
    </row>
    <row r="84" spans="1:8" ht="15.75">
      <c r="A84" s="211">
        <v>3.26000000000001</v>
      </c>
      <c r="B84" s="220" t="s">
        <v>577</v>
      </c>
      <c r="C84" s="204"/>
      <c r="D84" s="205" t="s">
        <v>539</v>
      </c>
      <c r="E84" s="205">
        <v>28</v>
      </c>
      <c r="F84" s="346"/>
      <c r="G84" s="217">
        <f>+F84*E84</f>
        <v>0</v>
      </c>
      <c r="H84" s="214"/>
    </row>
    <row r="85" spans="1:8" ht="15.75">
      <c r="A85" s="211"/>
      <c r="B85" s="220"/>
      <c r="C85" s="204"/>
      <c r="D85" s="205"/>
      <c r="E85" s="212"/>
      <c r="F85" s="216"/>
      <c r="G85" s="217"/>
      <c r="H85" s="214"/>
    </row>
    <row r="86" spans="1:8" ht="15.75">
      <c r="A86" s="211"/>
      <c r="B86" s="222" t="s">
        <v>559</v>
      </c>
      <c r="C86" s="204"/>
      <c r="D86" s="205"/>
      <c r="E86" s="212"/>
      <c r="F86" s="216"/>
      <c r="G86" s="223">
        <f>+SUM(G59:G84)</f>
        <v>0</v>
      </c>
      <c r="H86" s="214"/>
    </row>
    <row r="87" spans="1:8" ht="15.75">
      <c r="A87" s="211"/>
      <c r="B87" s="222"/>
      <c r="C87" s="204"/>
      <c r="D87" s="205"/>
      <c r="E87" s="212"/>
      <c r="F87" s="216"/>
      <c r="G87" s="225"/>
      <c r="H87" s="214"/>
    </row>
    <row r="88" spans="1:8" ht="15.75" customHeight="1">
      <c r="A88" s="211"/>
      <c r="B88" s="224" t="s">
        <v>578</v>
      </c>
      <c r="C88" s="204"/>
      <c r="D88" s="205"/>
      <c r="E88" s="212"/>
      <c r="F88" s="216"/>
      <c r="G88" s="225"/>
      <c r="H88" s="214"/>
    </row>
    <row r="89" spans="1:8" ht="35.25" customHeight="1">
      <c r="A89" s="211">
        <v>4.01</v>
      </c>
      <c r="B89" s="215" t="s">
        <v>604</v>
      </c>
      <c r="C89" s="204"/>
      <c r="D89" s="205" t="s">
        <v>450</v>
      </c>
      <c r="E89" s="212">
        <v>1</v>
      </c>
      <c r="F89" s="346"/>
      <c r="G89" s="217">
        <f>+F89*E89</f>
        <v>0</v>
      </c>
      <c r="H89" s="214"/>
    </row>
    <row r="90" spans="1:8" ht="15.75">
      <c r="A90" s="211">
        <v>4.02</v>
      </c>
      <c r="B90" s="220" t="s">
        <v>605</v>
      </c>
      <c r="C90" s="204"/>
      <c r="D90" s="205" t="s">
        <v>450</v>
      </c>
      <c r="E90" s="212">
        <v>3</v>
      </c>
      <c r="F90" s="346"/>
      <c r="G90" s="217">
        <f>+F90*E90</f>
        <v>0</v>
      </c>
      <c r="H90" s="214"/>
    </row>
    <row r="91" spans="1:8" ht="15.75">
      <c r="A91" s="211">
        <v>4.03</v>
      </c>
      <c r="B91" s="220" t="s">
        <v>579</v>
      </c>
      <c r="C91" s="204"/>
      <c r="D91" s="205" t="s">
        <v>450</v>
      </c>
      <c r="E91" s="212">
        <v>3</v>
      </c>
      <c r="F91" s="346"/>
      <c r="G91" s="217">
        <f>+F91*E91</f>
        <v>0</v>
      </c>
      <c r="H91" s="214"/>
    </row>
    <row r="92" spans="1:8" ht="15.75">
      <c r="A92" s="211">
        <v>4.04</v>
      </c>
      <c r="B92" s="220" t="s">
        <v>558</v>
      </c>
      <c r="C92" s="204"/>
      <c r="D92" s="205" t="s">
        <v>539</v>
      </c>
      <c r="E92" s="212">
        <v>36</v>
      </c>
      <c r="F92" s="346"/>
      <c r="G92" s="217">
        <f>+F92*E92</f>
        <v>0</v>
      </c>
      <c r="H92" s="214"/>
    </row>
    <row r="93" spans="1:8" ht="15.75">
      <c r="A93" s="211">
        <v>4.05</v>
      </c>
      <c r="B93" s="220" t="s">
        <v>580</v>
      </c>
      <c r="C93" s="204"/>
      <c r="D93" s="205" t="s">
        <v>450</v>
      </c>
      <c r="E93" s="212">
        <v>1</v>
      </c>
      <c r="F93" s="346"/>
      <c r="G93" s="217">
        <f>+F93*E93</f>
        <v>0</v>
      </c>
      <c r="H93" s="214"/>
    </row>
    <row r="94" spans="1:8" ht="15.75">
      <c r="A94" s="211"/>
      <c r="B94" s="222"/>
      <c r="C94" s="204"/>
      <c r="D94" s="205"/>
      <c r="E94" s="212"/>
      <c r="F94" s="216"/>
      <c r="G94" s="225"/>
      <c r="H94" s="214"/>
    </row>
    <row r="95" spans="1:8" ht="15.75">
      <c r="A95" s="211"/>
      <c r="B95" s="222" t="s">
        <v>559</v>
      </c>
      <c r="C95" s="204"/>
      <c r="D95" s="205"/>
      <c r="E95" s="212"/>
      <c r="F95" s="216"/>
      <c r="G95" s="223">
        <f>+SUM(G89:G93)</f>
        <v>0</v>
      </c>
      <c r="H95" s="214"/>
    </row>
    <row r="96" spans="1:8" ht="15.75">
      <c r="A96" s="211"/>
      <c r="B96" s="222"/>
      <c r="C96" s="204"/>
      <c r="D96" s="205"/>
      <c r="E96" s="212"/>
      <c r="F96" s="216"/>
      <c r="G96" s="225"/>
      <c r="H96" s="214"/>
    </row>
    <row r="97" spans="1:8" ht="15.75">
      <c r="A97" s="211"/>
      <c r="B97" s="224" t="s">
        <v>581</v>
      </c>
      <c r="C97" s="204"/>
      <c r="D97" s="205"/>
      <c r="E97" s="212"/>
      <c r="F97" s="216"/>
      <c r="G97" s="225"/>
      <c r="H97" s="214"/>
    </row>
    <row r="98" spans="1:8" ht="15.75" customHeight="1">
      <c r="A98" s="211">
        <v>5.01</v>
      </c>
      <c r="B98" s="215" t="s">
        <v>606</v>
      </c>
      <c r="C98" s="204"/>
      <c r="D98" s="205" t="s">
        <v>450</v>
      </c>
      <c r="E98" s="212">
        <v>1</v>
      </c>
      <c r="F98" s="346"/>
      <c r="G98" s="217">
        <f>+F98*E98</f>
        <v>0</v>
      </c>
      <c r="H98" s="214"/>
    </row>
    <row r="99" spans="1:8" ht="15.75">
      <c r="A99" s="211">
        <v>5.02</v>
      </c>
      <c r="B99" s="220" t="s">
        <v>607</v>
      </c>
      <c r="C99" s="204"/>
      <c r="D99" s="205" t="s">
        <v>450</v>
      </c>
      <c r="E99" s="212">
        <v>1</v>
      </c>
      <c r="F99" s="346"/>
      <c r="G99" s="217">
        <f>+F99*E99</f>
        <v>0</v>
      </c>
      <c r="H99" s="214"/>
    </row>
    <row r="100" spans="1:8" ht="15.75">
      <c r="A100" s="211">
        <v>5.03</v>
      </c>
      <c r="B100" s="220" t="s">
        <v>579</v>
      </c>
      <c r="C100" s="204"/>
      <c r="D100" s="205" t="s">
        <v>450</v>
      </c>
      <c r="E100" s="212">
        <v>1</v>
      </c>
      <c r="F100" s="346"/>
      <c r="G100" s="217">
        <f>+F100*E100</f>
        <v>0</v>
      </c>
      <c r="H100" s="214"/>
    </row>
    <row r="101" spans="1:8" ht="15.75">
      <c r="A101" s="211">
        <v>5.04</v>
      </c>
      <c r="B101" s="220" t="s">
        <v>558</v>
      </c>
      <c r="C101" s="204"/>
      <c r="D101" s="205" t="s">
        <v>539</v>
      </c>
      <c r="E101" s="212">
        <v>19</v>
      </c>
      <c r="F101" s="346"/>
      <c r="G101" s="217">
        <f>+F101*E101</f>
        <v>0</v>
      </c>
      <c r="H101" s="214"/>
    </row>
    <row r="102" spans="1:8" ht="15.75">
      <c r="A102" s="211">
        <v>5.05</v>
      </c>
      <c r="B102" s="220" t="s">
        <v>580</v>
      </c>
      <c r="C102" s="204"/>
      <c r="D102" s="205" t="s">
        <v>450</v>
      </c>
      <c r="E102" s="212">
        <v>1</v>
      </c>
      <c r="F102" s="346"/>
      <c r="G102" s="217">
        <f>+F102*E102</f>
        <v>0</v>
      </c>
      <c r="H102" s="214"/>
    </row>
    <row r="103" spans="1:8" ht="15.75">
      <c r="A103" s="211"/>
      <c r="B103" s="220"/>
      <c r="C103" s="204"/>
      <c r="D103" s="205"/>
      <c r="E103" s="212"/>
      <c r="F103" s="216"/>
      <c r="G103" s="217"/>
      <c r="H103" s="214"/>
    </row>
    <row r="104" spans="1:8" ht="15.75">
      <c r="A104" s="211"/>
      <c r="B104" s="222" t="s">
        <v>559</v>
      </c>
      <c r="C104" s="204"/>
      <c r="D104" s="205"/>
      <c r="E104" s="212"/>
      <c r="F104" s="216"/>
      <c r="G104" s="223">
        <f>+SUM(G98:G102)</f>
        <v>0</v>
      </c>
      <c r="H104" s="214"/>
    </row>
    <row r="105" spans="1:8" ht="15.75">
      <c r="A105" s="211"/>
      <c r="B105" s="220"/>
      <c r="C105" s="204"/>
      <c r="D105" s="205"/>
      <c r="E105" s="212"/>
      <c r="F105" s="216"/>
      <c r="G105" s="217"/>
      <c r="H105" s="214"/>
    </row>
    <row r="106" spans="1:8" ht="15.75">
      <c r="A106" s="211"/>
      <c r="B106" s="224" t="s">
        <v>582</v>
      </c>
      <c r="C106" s="204"/>
      <c r="D106" s="205"/>
      <c r="E106" s="212"/>
      <c r="F106" s="216"/>
      <c r="G106" s="217"/>
      <c r="H106" s="214"/>
    </row>
    <row r="107" spans="1:8" ht="15.75">
      <c r="A107" s="211">
        <v>6.01</v>
      </c>
      <c r="B107" s="220" t="s">
        <v>583</v>
      </c>
      <c r="C107" s="204"/>
      <c r="D107" s="205" t="s">
        <v>107</v>
      </c>
      <c r="E107" s="212">
        <v>1</v>
      </c>
      <c r="F107" s="346"/>
      <c r="G107" s="217">
        <f>+F107*E107</f>
        <v>0</v>
      </c>
      <c r="H107" s="214"/>
    </row>
    <row r="108" spans="1:8" ht="15.75">
      <c r="A108" s="211">
        <v>6.02</v>
      </c>
      <c r="B108" s="220" t="s">
        <v>584</v>
      </c>
      <c r="C108" s="204"/>
      <c r="D108" s="205" t="s">
        <v>107</v>
      </c>
      <c r="E108" s="212">
        <v>2</v>
      </c>
      <c r="F108" s="346"/>
      <c r="G108" s="217">
        <f aca="true" t="shared" si="3" ref="G108:G113">+F108*E108</f>
        <v>0</v>
      </c>
      <c r="H108" s="214"/>
    </row>
    <row r="109" spans="1:8" ht="15.75">
      <c r="A109" s="211">
        <v>6.03</v>
      </c>
      <c r="B109" s="220" t="s">
        <v>585</v>
      </c>
      <c r="C109" s="204"/>
      <c r="D109" s="205" t="s">
        <v>539</v>
      </c>
      <c r="E109" s="212">
        <v>40</v>
      </c>
      <c r="F109" s="346"/>
      <c r="G109" s="217">
        <f t="shared" si="3"/>
        <v>0</v>
      </c>
      <c r="H109" s="214"/>
    </row>
    <row r="110" spans="1:8" ht="15.75">
      <c r="A110" s="211">
        <v>6.04</v>
      </c>
      <c r="B110" s="220" t="s">
        <v>586</v>
      </c>
      <c r="C110" s="204"/>
      <c r="D110" s="205" t="s">
        <v>539</v>
      </c>
      <c r="E110" s="212">
        <v>35</v>
      </c>
      <c r="F110" s="346"/>
      <c r="G110" s="217">
        <f t="shared" si="3"/>
        <v>0</v>
      </c>
      <c r="H110" s="214"/>
    </row>
    <row r="111" spans="1:8" ht="15.75">
      <c r="A111" s="211">
        <v>6.05</v>
      </c>
      <c r="B111" s="220" t="s">
        <v>587</v>
      </c>
      <c r="C111" s="204"/>
      <c r="D111" s="205" t="s">
        <v>450</v>
      </c>
      <c r="E111" s="212">
        <v>1</v>
      </c>
      <c r="F111" s="346"/>
      <c r="G111" s="217">
        <f t="shared" si="3"/>
        <v>0</v>
      </c>
      <c r="H111" s="214"/>
    </row>
    <row r="112" spans="1:8" ht="15.75">
      <c r="A112" s="211">
        <v>6.06</v>
      </c>
      <c r="B112" s="220" t="s">
        <v>588</v>
      </c>
      <c r="C112" s="204"/>
      <c r="D112" s="205" t="s">
        <v>107</v>
      </c>
      <c r="E112" s="212">
        <v>1</v>
      </c>
      <c r="F112" s="346"/>
      <c r="G112" s="217">
        <f t="shared" si="3"/>
        <v>0</v>
      </c>
      <c r="H112" s="214"/>
    </row>
    <row r="113" spans="1:8" ht="15.75">
      <c r="A113" s="211">
        <v>6.07</v>
      </c>
      <c r="B113" s="226" t="s">
        <v>589</v>
      </c>
      <c r="C113" s="204"/>
      <c r="D113" s="205" t="s">
        <v>107</v>
      </c>
      <c r="E113" s="212">
        <v>1</v>
      </c>
      <c r="F113" s="346"/>
      <c r="G113" s="217">
        <f t="shared" si="3"/>
        <v>0</v>
      </c>
      <c r="H113" s="214"/>
    </row>
    <row r="114" spans="1:8" ht="15.75">
      <c r="A114" s="211"/>
      <c r="B114" s="220"/>
      <c r="C114" s="204"/>
      <c r="D114" s="205"/>
      <c r="E114" s="212"/>
      <c r="F114" s="216"/>
      <c r="G114" s="225"/>
      <c r="H114" s="214"/>
    </row>
    <row r="115" spans="1:8" ht="15.75">
      <c r="A115" s="211"/>
      <c r="B115" s="222" t="s">
        <v>559</v>
      </c>
      <c r="C115" s="204"/>
      <c r="D115" s="205"/>
      <c r="E115" s="212"/>
      <c r="F115" s="216"/>
      <c r="G115" s="223">
        <f>+SUM(G107:G113)</f>
        <v>0</v>
      </c>
      <c r="H115" s="214"/>
    </row>
    <row r="116" spans="1:8" ht="15.75">
      <c r="A116" s="211"/>
      <c r="B116" s="220"/>
      <c r="C116" s="204"/>
      <c r="D116" s="205"/>
      <c r="E116" s="212"/>
      <c r="F116" s="216"/>
      <c r="G116" s="217"/>
      <c r="H116" s="214"/>
    </row>
    <row r="117" spans="1:8" ht="15.75">
      <c r="A117" s="211"/>
      <c r="B117" s="224" t="s">
        <v>590</v>
      </c>
      <c r="C117" s="204"/>
      <c r="D117" s="205"/>
      <c r="E117" s="212"/>
      <c r="F117" s="216"/>
      <c r="G117" s="217"/>
      <c r="H117" s="214"/>
    </row>
    <row r="118" spans="1:8" ht="15.75">
      <c r="A118" s="211">
        <v>7.01</v>
      </c>
      <c r="B118" s="226" t="s">
        <v>591</v>
      </c>
      <c r="C118" s="204"/>
      <c r="D118" s="205" t="s">
        <v>107</v>
      </c>
      <c r="E118" s="212">
        <v>3</v>
      </c>
      <c r="F118" s="346"/>
      <c r="G118" s="217">
        <f>+F118*E118</f>
        <v>0</v>
      </c>
      <c r="H118" s="214"/>
    </row>
    <row r="119" spans="1:8" ht="15.75">
      <c r="A119" s="211">
        <v>7.02</v>
      </c>
      <c r="B119" s="226" t="s">
        <v>592</v>
      </c>
      <c r="C119" s="204"/>
      <c r="D119" s="205" t="s">
        <v>107</v>
      </c>
      <c r="E119" s="212">
        <v>3</v>
      </c>
      <c r="F119" s="346"/>
      <c r="G119" s="217">
        <f aca="true" t="shared" si="4" ref="G119:G126">+F119*E119</f>
        <v>0</v>
      </c>
      <c r="H119" s="214"/>
    </row>
    <row r="120" spans="1:8" ht="15.75">
      <c r="A120" s="211">
        <v>7.03</v>
      </c>
      <c r="B120" s="226" t="s">
        <v>593</v>
      </c>
      <c r="C120" s="204"/>
      <c r="D120" s="205" t="s">
        <v>594</v>
      </c>
      <c r="E120" s="212">
        <v>20</v>
      </c>
      <c r="F120" s="346"/>
      <c r="G120" s="217">
        <f t="shared" si="4"/>
        <v>0</v>
      </c>
      <c r="H120" s="214"/>
    </row>
    <row r="121" spans="1:8" ht="15.75">
      <c r="A121" s="211">
        <v>7.04</v>
      </c>
      <c r="B121" s="227" t="s">
        <v>595</v>
      </c>
      <c r="C121" s="204"/>
      <c r="D121" s="205" t="s">
        <v>594</v>
      </c>
      <c r="E121" s="212">
        <v>5</v>
      </c>
      <c r="F121" s="346"/>
      <c r="G121" s="217">
        <f t="shared" si="4"/>
        <v>0</v>
      </c>
      <c r="H121" s="214"/>
    </row>
    <row r="122" spans="1:8" ht="15.75">
      <c r="A122" s="211">
        <v>7.05</v>
      </c>
      <c r="B122" s="227" t="s">
        <v>596</v>
      </c>
      <c r="C122" s="204"/>
      <c r="D122" s="205" t="s">
        <v>594</v>
      </c>
      <c r="E122" s="212">
        <v>20</v>
      </c>
      <c r="F122" s="346"/>
      <c r="G122" s="217">
        <f t="shared" si="4"/>
        <v>0</v>
      </c>
      <c r="H122" s="214"/>
    </row>
    <row r="123" spans="1:8" ht="15.75">
      <c r="A123" s="211">
        <v>7.06</v>
      </c>
      <c r="B123" s="227" t="s">
        <v>597</v>
      </c>
      <c r="C123" s="204"/>
      <c r="D123" s="205" t="s">
        <v>107</v>
      </c>
      <c r="E123" s="212">
        <v>3</v>
      </c>
      <c r="F123" s="346"/>
      <c r="G123" s="217">
        <f t="shared" si="4"/>
        <v>0</v>
      </c>
      <c r="H123" s="214"/>
    </row>
    <row r="124" spans="1:8" ht="15.75">
      <c r="A124" s="211">
        <v>7.07</v>
      </c>
      <c r="B124" s="228" t="s">
        <v>598</v>
      </c>
      <c r="C124" s="204"/>
      <c r="D124" s="205" t="s">
        <v>107</v>
      </c>
      <c r="E124" s="212">
        <v>1</v>
      </c>
      <c r="F124" s="346"/>
      <c r="G124" s="217">
        <f t="shared" si="4"/>
        <v>0</v>
      </c>
      <c r="H124" s="214"/>
    </row>
    <row r="125" spans="1:8" ht="15.75">
      <c r="A125" s="211">
        <v>7.08</v>
      </c>
      <c r="B125" s="228" t="s">
        <v>599</v>
      </c>
      <c r="C125" s="204"/>
      <c r="D125" s="205" t="s">
        <v>107</v>
      </c>
      <c r="E125" s="212">
        <v>3</v>
      </c>
      <c r="F125" s="346"/>
      <c r="G125" s="217">
        <f t="shared" si="4"/>
        <v>0</v>
      </c>
      <c r="H125" s="214"/>
    </row>
    <row r="126" spans="1:13" ht="15.75">
      <c r="A126" s="211">
        <v>7.09</v>
      </c>
      <c r="B126" s="220" t="s">
        <v>600</v>
      </c>
      <c r="C126" s="204"/>
      <c r="D126" s="205" t="s">
        <v>107</v>
      </c>
      <c r="E126" s="205">
        <v>1</v>
      </c>
      <c r="F126" s="346"/>
      <c r="G126" s="217">
        <f t="shared" si="4"/>
        <v>0</v>
      </c>
      <c r="H126" s="229"/>
      <c r="I126" s="230"/>
      <c r="J126" s="230"/>
      <c r="K126" s="230"/>
      <c r="L126" s="230"/>
      <c r="M126" s="230"/>
    </row>
    <row r="127" spans="1:13" ht="15.75">
      <c r="A127" s="211"/>
      <c r="B127" s="220"/>
      <c r="C127" s="204"/>
      <c r="D127" s="205"/>
      <c r="E127" s="205"/>
      <c r="F127" s="216"/>
      <c r="G127" s="217"/>
      <c r="H127" s="229"/>
      <c r="I127" s="230"/>
      <c r="J127" s="230"/>
      <c r="K127" s="230"/>
      <c r="L127" s="230"/>
      <c r="M127" s="230"/>
    </row>
    <row r="128" spans="1:13" ht="15.75">
      <c r="A128" s="211"/>
      <c r="B128" s="222" t="s">
        <v>559</v>
      </c>
      <c r="C128" s="204"/>
      <c r="D128" s="205"/>
      <c r="E128" s="205"/>
      <c r="F128" s="216"/>
      <c r="G128" s="231">
        <f>+SUM(G118:G126)</f>
        <v>0</v>
      </c>
      <c r="H128" s="229"/>
      <c r="I128" s="230"/>
      <c r="J128" s="230"/>
      <c r="K128" s="230"/>
      <c r="L128" s="230"/>
      <c r="M128" s="230"/>
    </row>
    <row r="129" spans="1:13" ht="15.75">
      <c r="A129" s="211"/>
      <c r="B129" s="220"/>
      <c r="C129" s="204"/>
      <c r="D129" s="205"/>
      <c r="E129" s="205"/>
      <c r="F129" s="212"/>
      <c r="G129" s="232"/>
      <c r="H129" s="229"/>
      <c r="I129" s="230"/>
      <c r="J129" s="230"/>
      <c r="K129" s="230"/>
      <c r="L129" s="230"/>
      <c r="M129" s="230"/>
    </row>
    <row r="130" spans="1:13" ht="18">
      <c r="A130" s="202"/>
      <c r="B130" s="233" t="s">
        <v>601</v>
      </c>
      <c r="C130" s="234"/>
      <c r="D130" s="235" t="s">
        <v>73</v>
      </c>
      <c r="E130" s="236"/>
      <c r="F130" s="237"/>
      <c r="G130" s="238">
        <f>+SUM(G128,G86,G56,G35,G115,G95,G104)</f>
        <v>0</v>
      </c>
      <c r="H130" s="214"/>
      <c r="I130" s="230"/>
      <c r="J130" s="230"/>
      <c r="K130" s="230"/>
      <c r="L130" s="230"/>
      <c r="M130" s="230"/>
    </row>
    <row r="131" spans="1:13" ht="18">
      <c r="A131" s="211"/>
      <c r="B131" s="239" t="s">
        <v>77</v>
      </c>
      <c r="C131" s="240"/>
      <c r="D131" s="241" t="s">
        <v>77</v>
      </c>
      <c r="E131" s="242"/>
      <c r="F131" s="243"/>
      <c r="G131" s="244" t="s">
        <v>77</v>
      </c>
      <c r="H131" s="214"/>
      <c r="I131" s="230"/>
      <c r="J131" s="230"/>
      <c r="K131" s="230"/>
      <c r="L131" s="230"/>
      <c r="M131" s="230"/>
    </row>
    <row r="132" spans="1:13" ht="16.5" thickBot="1">
      <c r="A132" s="245"/>
      <c r="B132" s="246"/>
      <c r="C132" s="246"/>
      <c r="D132" s="246"/>
      <c r="E132" s="247"/>
      <c r="F132" s="246"/>
      <c r="G132" s="248"/>
      <c r="H132" s="249"/>
      <c r="I132" s="230"/>
      <c r="J132" s="230"/>
      <c r="K132" s="230"/>
      <c r="L132" s="230"/>
      <c r="M132" s="230"/>
    </row>
    <row r="133" spans="1:13" ht="18">
      <c r="A133" s="250"/>
      <c r="B133" s="240"/>
      <c r="C133" s="240"/>
      <c r="D133" s="251"/>
      <c r="E133" s="252"/>
      <c r="F133" s="253"/>
      <c r="G133" s="254"/>
      <c r="H133" s="213"/>
      <c r="I133" s="230"/>
      <c r="J133" s="230"/>
      <c r="K133" s="230"/>
      <c r="L133" s="230"/>
      <c r="M133" s="230"/>
    </row>
    <row r="134" spans="1:13" ht="16.5" thickBot="1">
      <c r="A134" s="250"/>
      <c r="B134" s="255"/>
      <c r="C134" s="256"/>
      <c r="D134" s="257"/>
      <c r="E134" s="258"/>
      <c r="F134" s="259"/>
      <c r="G134" s="260"/>
      <c r="H134" s="213"/>
      <c r="I134" s="230"/>
      <c r="J134" s="230"/>
      <c r="K134" s="230"/>
      <c r="L134" s="230"/>
      <c r="M134" s="230"/>
    </row>
    <row r="135" spans="1:13" ht="16.5" thickBot="1">
      <c r="A135" s="261"/>
      <c r="B135" s="262" t="s">
        <v>432</v>
      </c>
      <c r="C135" s="263"/>
      <c r="D135" s="264"/>
      <c r="E135" s="265"/>
      <c r="F135" s="266"/>
      <c r="G135" s="267">
        <f>G35+G56+G86+G95+G104+G115</f>
        <v>0</v>
      </c>
      <c r="H135" s="213"/>
      <c r="I135" s="230"/>
      <c r="J135" s="230"/>
      <c r="K135" s="230"/>
      <c r="L135" s="230"/>
      <c r="M135" s="230"/>
    </row>
    <row r="136" spans="1:13" ht="16.5" thickBot="1">
      <c r="A136" s="250"/>
      <c r="B136" s="268" t="s">
        <v>433</v>
      </c>
      <c r="C136" s="204"/>
      <c r="D136" s="205"/>
      <c r="E136" s="206"/>
      <c r="F136" s="207"/>
      <c r="G136" s="269">
        <f>G128</f>
        <v>0</v>
      </c>
      <c r="H136" s="213"/>
      <c r="I136" s="230"/>
      <c r="J136" s="230"/>
      <c r="K136" s="230"/>
      <c r="L136" s="230"/>
      <c r="M136" s="230"/>
    </row>
    <row r="137" spans="1:13" ht="18.75" thickBot="1">
      <c r="A137" s="261"/>
      <c r="B137" s="270" t="s">
        <v>601</v>
      </c>
      <c r="C137" s="204"/>
      <c r="D137" s="205"/>
      <c r="E137" s="205"/>
      <c r="F137" s="213"/>
      <c r="G137" s="271">
        <f>G135+G136</f>
        <v>0</v>
      </c>
      <c r="H137" s="213"/>
      <c r="I137" s="230"/>
      <c r="J137" s="230"/>
      <c r="K137" s="230"/>
      <c r="L137" s="230"/>
      <c r="M137" s="230"/>
    </row>
    <row r="138" spans="1:13" ht="15.75">
      <c r="A138" s="250"/>
      <c r="B138" s="204"/>
      <c r="C138" s="204"/>
      <c r="D138" s="205"/>
      <c r="E138" s="205"/>
      <c r="F138" s="213"/>
      <c r="G138" s="272"/>
      <c r="H138" s="213"/>
      <c r="I138" s="230"/>
      <c r="J138" s="230"/>
      <c r="K138" s="230"/>
      <c r="L138" s="230"/>
      <c r="M138" s="230"/>
    </row>
    <row r="139" spans="1:13" ht="15.75">
      <c r="A139" s="250"/>
      <c r="B139" s="220"/>
      <c r="C139" s="204"/>
      <c r="D139" s="205"/>
      <c r="E139" s="212"/>
      <c r="F139" s="212"/>
      <c r="G139" s="273"/>
      <c r="H139" s="212"/>
      <c r="I139" s="230"/>
      <c r="J139" s="230"/>
      <c r="K139" s="230"/>
      <c r="L139" s="230"/>
      <c r="M139" s="230"/>
    </row>
    <row r="140" spans="1:13" ht="15.75">
      <c r="A140" s="261"/>
      <c r="B140" s="204"/>
      <c r="C140" s="204"/>
      <c r="D140" s="205"/>
      <c r="E140" s="205" t="s">
        <v>77</v>
      </c>
      <c r="F140" s="212"/>
      <c r="G140" s="273"/>
      <c r="H140" s="212"/>
      <c r="I140" s="230"/>
      <c r="J140" s="230"/>
      <c r="K140" s="230"/>
      <c r="L140" s="230"/>
      <c r="M140" s="230"/>
    </row>
    <row r="141" spans="1:13" ht="15.75">
      <c r="A141" s="250"/>
      <c r="B141" s="204"/>
      <c r="C141" s="204"/>
      <c r="D141" s="205"/>
      <c r="E141" s="205"/>
      <c r="F141" s="212"/>
      <c r="G141" s="273"/>
      <c r="H141" s="212"/>
      <c r="I141" s="230"/>
      <c r="J141" s="230"/>
      <c r="K141" s="230"/>
      <c r="L141" s="230"/>
      <c r="M141" s="230"/>
    </row>
    <row r="142" spans="1:13" ht="15.75">
      <c r="A142" s="250"/>
      <c r="B142" s="274"/>
      <c r="C142" s="204"/>
      <c r="D142" s="205"/>
      <c r="E142" s="206"/>
      <c r="F142" s="212"/>
      <c r="G142" s="273"/>
      <c r="H142" s="212"/>
      <c r="I142" s="230"/>
      <c r="J142" s="230"/>
      <c r="K142" s="230"/>
      <c r="L142" s="230"/>
      <c r="M142" s="230"/>
    </row>
    <row r="143" spans="1:13" ht="15.75">
      <c r="A143" s="275"/>
      <c r="B143" s="203"/>
      <c r="C143" s="230"/>
      <c r="D143" s="230"/>
      <c r="E143" s="261"/>
      <c r="F143" s="230"/>
      <c r="G143" s="230"/>
      <c r="H143" s="230"/>
      <c r="I143" s="230"/>
      <c r="J143" s="230"/>
      <c r="K143" s="230"/>
      <c r="L143" s="230"/>
      <c r="M143" s="230"/>
    </row>
    <row r="144" spans="1:13" ht="15.75">
      <c r="A144" s="276"/>
      <c r="B144" s="204"/>
      <c r="C144" s="204"/>
      <c r="D144" s="277"/>
      <c r="E144" s="278"/>
      <c r="F144" s="212"/>
      <c r="G144" s="273"/>
      <c r="H144" s="212"/>
      <c r="I144" s="230"/>
      <c r="J144" s="230"/>
      <c r="K144" s="230"/>
      <c r="L144" s="230"/>
      <c r="M144" s="230"/>
    </row>
    <row r="145" spans="1:13" ht="15.75">
      <c r="A145" s="276"/>
      <c r="B145" s="204"/>
      <c r="C145" s="204"/>
      <c r="D145" s="277"/>
      <c r="E145" s="278"/>
      <c r="F145" s="212"/>
      <c r="G145" s="273"/>
      <c r="H145" s="212"/>
      <c r="I145" s="230"/>
      <c r="J145" s="230"/>
      <c r="K145" s="230"/>
      <c r="L145" s="230"/>
      <c r="M145" s="230"/>
    </row>
    <row r="146" spans="1:13" ht="15.75">
      <c r="A146" s="276"/>
      <c r="B146" s="204"/>
      <c r="C146" s="204"/>
      <c r="D146" s="277"/>
      <c r="E146" s="278"/>
      <c r="F146" s="212"/>
      <c r="G146" s="273"/>
      <c r="H146" s="212"/>
      <c r="I146" s="230"/>
      <c r="J146" s="230"/>
      <c r="K146" s="230"/>
      <c r="L146" s="230"/>
      <c r="M146" s="230"/>
    </row>
    <row r="147" spans="1:13" ht="15.75">
      <c r="A147" s="276"/>
      <c r="B147" s="279"/>
      <c r="C147" s="204"/>
      <c r="D147" s="277"/>
      <c r="E147" s="278"/>
      <c r="F147" s="212"/>
      <c r="G147" s="273"/>
      <c r="H147" s="212"/>
      <c r="I147" s="230"/>
      <c r="J147" s="230"/>
      <c r="K147" s="230"/>
      <c r="L147" s="230"/>
      <c r="M147" s="230"/>
    </row>
    <row r="148" spans="1:13" ht="15.75">
      <c r="A148" s="276"/>
      <c r="B148" s="204"/>
      <c r="C148" s="204"/>
      <c r="D148" s="277"/>
      <c r="E148" s="278"/>
      <c r="F148" s="212"/>
      <c r="G148" s="273"/>
      <c r="H148" s="212"/>
      <c r="I148" s="230"/>
      <c r="J148" s="230"/>
      <c r="K148" s="230"/>
      <c r="L148" s="230"/>
      <c r="M148" s="230"/>
    </row>
    <row r="149" spans="1:13" ht="15.75">
      <c r="A149" s="276"/>
      <c r="B149" s="204"/>
      <c r="C149" s="204"/>
      <c r="D149" s="277"/>
      <c r="E149" s="278"/>
      <c r="F149" s="212"/>
      <c r="G149" s="273"/>
      <c r="H149" s="212"/>
      <c r="I149" s="230"/>
      <c r="J149" s="230"/>
      <c r="K149" s="230"/>
      <c r="L149" s="230"/>
      <c r="M149" s="230"/>
    </row>
    <row r="150" spans="1:13" ht="15.75">
      <c r="A150" s="276"/>
      <c r="B150" s="220"/>
      <c r="C150" s="230"/>
      <c r="D150" s="230"/>
      <c r="E150" s="261"/>
      <c r="F150" s="230"/>
      <c r="G150" s="230"/>
      <c r="H150" s="230"/>
      <c r="I150" s="230"/>
      <c r="J150" s="230"/>
      <c r="K150" s="230"/>
      <c r="L150" s="230"/>
      <c r="M150" s="230"/>
    </row>
    <row r="151" spans="1:13" ht="15.75">
      <c r="A151" s="275"/>
      <c r="B151" s="203"/>
      <c r="C151" s="230"/>
      <c r="D151" s="230"/>
      <c r="E151" s="261"/>
      <c r="F151" s="230"/>
      <c r="G151" s="230"/>
      <c r="H151" s="230"/>
      <c r="I151" s="230"/>
      <c r="J151" s="230"/>
      <c r="K151" s="230"/>
      <c r="L151" s="230"/>
      <c r="M151" s="230"/>
    </row>
    <row r="152" spans="1:13" ht="15.75">
      <c r="A152" s="275"/>
      <c r="B152" s="274"/>
      <c r="C152" s="204"/>
      <c r="D152" s="205"/>
      <c r="E152" s="205"/>
      <c r="F152" s="212"/>
      <c r="G152" s="273"/>
      <c r="H152" s="212"/>
      <c r="I152" s="230"/>
      <c r="J152" s="230"/>
      <c r="K152" s="230"/>
      <c r="L152" s="230"/>
      <c r="M152" s="230"/>
    </row>
    <row r="153" spans="1:13" ht="15.75">
      <c r="A153" s="275"/>
      <c r="B153" s="204"/>
      <c r="C153" s="204"/>
      <c r="D153" s="205"/>
      <c r="E153" s="205"/>
      <c r="F153" s="212"/>
      <c r="G153" s="273"/>
      <c r="H153" s="212"/>
      <c r="I153" s="230"/>
      <c r="J153" s="230"/>
      <c r="K153" s="230"/>
      <c r="L153" s="230"/>
      <c r="M153" s="230"/>
    </row>
    <row r="154" spans="1:13" ht="15.75">
      <c r="A154" s="276"/>
      <c r="B154" s="203"/>
      <c r="C154" s="204"/>
      <c r="D154" s="205"/>
      <c r="E154" s="205"/>
      <c r="F154" s="280"/>
      <c r="G154" s="280"/>
      <c r="H154" s="280"/>
      <c r="I154" s="230"/>
      <c r="J154" s="230"/>
      <c r="K154" s="230"/>
      <c r="L154" s="230"/>
      <c r="M154" s="230"/>
    </row>
    <row r="155" spans="1:13" ht="15.75">
      <c r="A155" s="276"/>
      <c r="B155" s="204"/>
      <c r="C155" s="204"/>
      <c r="D155" s="205"/>
      <c r="E155" s="205"/>
      <c r="F155" s="212"/>
      <c r="G155" s="273"/>
      <c r="H155" s="212"/>
      <c r="I155" s="230"/>
      <c r="J155" s="230"/>
      <c r="K155" s="230"/>
      <c r="L155" s="230"/>
      <c r="M155" s="230"/>
    </row>
    <row r="156" spans="1:13" ht="15.75">
      <c r="A156" s="276"/>
      <c r="B156" s="204"/>
      <c r="C156" s="204"/>
      <c r="D156" s="205"/>
      <c r="E156" s="205"/>
      <c r="F156" s="280"/>
      <c r="G156" s="280"/>
      <c r="H156" s="280"/>
      <c r="I156" s="230"/>
      <c r="J156" s="230"/>
      <c r="K156" s="230"/>
      <c r="L156" s="230"/>
      <c r="M156" s="230"/>
    </row>
    <row r="157" spans="1:13" ht="15.75">
      <c r="A157" s="276"/>
      <c r="B157" s="220"/>
      <c r="C157" s="204"/>
      <c r="D157" s="205"/>
      <c r="E157" s="212"/>
      <c r="F157" s="212"/>
      <c r="G157" s="273"/>
      <c r="H157" s="212"/>
      <c r="I157" s="230"/>
      <c r="J157" s="230"/>
      <c r="K157" s="230"/>
      <c r="L157" s="230"/>
      <c r="M157" s="230"/>
    </row>
    <row r="158" spans="1:13" ht="15.75">
      <c r="A158" s="276"/>
      <c r="B158" s="204"/>
      <c r="C158" s="204"/>
      <c r="D158" s="205"/>
      <c r="E158" s="212"/>
      <c r="F158" s="212"/>
      <c r="G158" s="273"/>
      <c r="H158" s="212"/>
      <c r="I158" s="230"/>
      <c r="J158" s="230"/>
      <c r="K158" s="230"/>
      <c r="L158" s="230"/>
      <c r="M158" s="230"/>
    </row>
    <row r="159" spans="1:13" ht="15.75">
      <c r="A159" s="276"/>
      <c r="B159" s="204"/>
      <c r="C159" s="204"/>
      <c r="D159" s="205"/>
      <c r="E159" s="212"/>
      <c r="F159" s="212"/>
      <c r="G159" s="273"/>
      <c r="H159" s="212"/>
      <c r="I159" s="230"/>
      <c r="J159" s="230"/>
      <c r="K159" s="230"/>
      <c r="L159" s="230"/>
      <c r="M159" s="230"/>
    </row>
    <row r="160" spans="1:13" ht="15.75">
      <c r="A160" s="276"/>
      <c r="B160" s="204"/>
      <c r="C160" s="204"/>
      <c r="D160" s="205"/>
      <c r="E160" s="212"/>
      <c r="F160" s="212"/>
      <c r="G160" s="273"/>
      <c r="H160" s="212"/>
      <c r="I160" s="230"/>
      <c r="J160" s="230"/>
      <c r="K160" s="230"/>
      <c r="L160" s="230"/>
      <c r="M160" s="230"/>
    </row>
    <row r="161" spans="1:13" ht="15.75">
      <c r="A161" s="276"/>
      <c r="B161" s="204"/>
      <c r="C161" s="204"/>
      <c r="D161" s="205"/>
      <c r="E161" s="212"/>
      <c r="F161" s="212"/>
      <c r="G161" s="273"/>
      <c r="H161" s="212"/>
      <c r="I161" s="230"/>
      <c r="J161" s="230"/>
      <c r="K161" s="230"/>
      <c r="L161" s="230"/>
      <c r="M161" s="230"/>
    </row>
    <row r="162" spans="1:13" ht="15.75">
      <c r="A162" s="276"/>
      <c r="B162" s="220"/>
      <c r="C162" s="204"/>
      <c r="D162" s="205"/>
      <c r="E162" s="212"/>
      <c r="F162" s="212"/>
      <c r="G162" s="273"/>
      <c r="H162" s="212"/>
      <c r="I162" s="230"/>
      <c r="J162" s="230"/>
      <c r="K162" s="230"/>
      <c r="L162" s="230"/>
      <c r="M162" s="230"/>
    </row>
    <row r="163" spans="1:13" ht="15.75">
      <c r="A163" s="276"/>
      <c r="B163" s="220"/>
      <c r="C163" s="204"/>
      <c r="D163" s="205"/>
      <c r="E163" s="212"/>
      <c r="F163" s="212"/>
      <c r="G163" s="273"/>
      <c r="H163" s="212"/>
      <c r="I163" s="230"/>
      <c r="J163" s="230"/>
      <c r="K163" s="230"/>
      <c r="L163" s="230"/>
      <c r="M163" s="230"/>
    </row>
    <row r="164" spans="1:13" ht="15.75">
      <c r="A164" s="276"/>
      <c r="B164" s="220"/>
      <c r="C164" s="204"/>
      <c r="D164" s="205"/>
      <c r="E164" s="212"/>
      <c r="F164" s="212"/>
      <c r="G164" s="273"/>
      <c r="H164" s="212"/>
      <c r="I164" s="230"/>
      <c r="J164" s="230"/>
      <c r="K164" s="230"/>
      <c r="L164" s="230"/>
      <c r="M164" s="230"/>
    </row>
    <row r="165" spans="1:13" ht="15.75">
      <c r="A165" s="276"/>
      <c r="B165" s="220"/>
      <c r="C165" s="204"/>
      <c r="D165" s="205"/>
      <c r="E165" s="212"/>
      <c r="F165" s="212"/>
      <c r="G165" s="273"/>
      <c r="H165" s="212"/>
      <c r="I165" s="230"/>
      <c r="J165" s="230"/>
      <c r="K165" s="230"/>
      <c r="L165" s="230"/>
      <c r="M165" s="230"/>
    </row>
    <row r="166" spans="1:13" ht="15.75">
      <c r="A166" s="276"/>
      <c r="B166" s="220"/>
      <c r="C166" s="204"/>
      <c r="D166" s="205"/>
      <c r="E166" s="212"/>
      <c r="F166" s="212"/>
      <c r="G166" s="273"/>
      <c r="H166" s="212"/>
      <c r="I166" s="230"/>
      <c r="J166" s="230"/>
      <c r="K166" s="230"/>
      <c r="L166" s="230"/>
      <c r="M166" s="230"/>
    </row>
    <row r="167" spans="1:13" ht="15.75">
      <c r="A167" s="276"/>
      <c r="B167" s="220"/>
      <c r="C167" s="204"/>
      <c r="D167" s="205"/>
      <c r="E167" s="212"/>
      <c r="F167" s="212"/>
      <c r="G167" s="273"/>
      <c r="H167" s="212"/>
      <c r="I167" s="230"/>
      <c r="J167" s="230"/>
      <c r="K167" s="230"/>
      <c r="L167" s="230"/>
      <c r="M167" s="230"/>
    </row>
    <row r="168" spans="1:13" ht="15.75">
      <c r="A168" s="276"/>
      <c r="B168" s="220"/>
      <c r="C168" s="204"/>
      <c r="D168" s="205"/>
      <c r="E168" s="212"/>
      <c r="F168" s="212"/>
      <c r="G168" s="273"/>
      <c r="H168" s="212"/>
      <c r="I168" s="230"/>
      <c r="J168" s="230"/>
      <c r="K168" s="230"/>
      <c r="L168" s="230"/>
      <c r="M168" s="230"/>
    </row>
    <row r="169" spans="1:13" ht="15.75">
      <c r="A169" s="276"/>
      <c r="B169" s="220"/>
      <c r="C169" s="204"/>
      <c r="D169" s="205"/>
      <c r="E169" s="212"/>
      <c r="F169" s="212"/>
      <c r="G169" s="273"/>
      <c r="H169" s="212"/>
      <c r="I169" s="230"/>
      <c r="J169" s="230"/>
      <c r="K169" s="230"/>
      <c r="L169" s="230"/>
      <c r="M169" s="230"/>
    </row>
    <row r="170" spans="1:13" ht="15.75">
      <c r="A170" s="276"/>
      <c r="B170" s="220"/>
      <c r="C170" s="204"/>
      <c r="D170" s="205"/>
      <c r="E170" s="212"/>
      <c r="F170" s="212"/>
      <c r="G170" s="273"/>
      <c r="H170" s="212"/>
      <c r="I170" s="230"/>
      <c r="J170" s="230"/>
      <c r="K170" s="230"/>
      <c r="L170" s="230"/>
      <c r="M170" s="230"/>
    </row>
    <row r="171" spans="1:13" ht="15.75">
      <c r="A171" s="276"/>
      <c r="B171" s="220"/>
      <c r="C171" s="204"/>
      <c r="D171" s="205"/>
      <c r="E171" s="212"/>
      <c r="F171" s="212"/>
      <c r="G171" s="273"/>
      <c r="H171" s="212"/>
      <c r="I171" s="230"/>
      <c r="J171" s="230"/>
      <c r="K171" s="230"/>
      <c r="L171" s="230"/>
      <c r="M171" s="230"/>
    </row>
    <row r="172" spans="1:13" ht="15.75">
      <c r="A172" s="276"/>
      <c r="B172" s="220"/>
      <c r="C172" s="204"/>
      <c r="D172" s="205"/>
      <c r="E172" s="212"/>
      <c r="F172" s="212"/>
      <c r="G172" s="273"/>
      <c r="H172" s="212"/>
      <c r="I172" s="230"/>
      <c r="J172" s="230"/>
      <c r="K172" s="230"/>
      <c r="L172" s="230"/>
      <c r="M172" s="230"/>
    </row>
    <row r="173" spans="1:13" ht="15.75">
      <c r="A173" s="276"/>
      <c r="B173" s="230"/>
      <c r="C173" s="230"/>
      <c r="D173" s="230"/>
      <c r="E173" s="261"/>
      <c r="F173" s="230"/>
      <c r="G173" s="230"/>
      <c r="H173" s="230"/>
      <c r="I173" s="230"/>
      <c r="J173" s="230"/>
      <c r="K173" s="230"/>
      <c r="L173" s="230"/>
      <c r="M173" s="230"/>
    </row>
    <row r="174" spans="1:13" ht="15.75">
      <c r="A174" s="276"/>
      <c r="B174" s="274"/>
      <c r="C174" s="204"/>
      <c r="D174" s="205"/>
      <c r="E174" s="205"/>
      <c r="F174" s="212"/>
      <c r="G174" s="273"/>
      <c r="H174" s="212"/>
      <c r="I174" s="230"/>
      <c r="J174" s="230"/>
      <c r="K174" s="230"/>
      <c r="L174" s="230"/>
      <c r="M174" s="230"/>
    </row>
    <row r="175" spans="1:13" ht="15.75">
      <c r="A175" s="275"/>
      <c r="B175" s="204"/>
      <c r="C175" s="204"/>
      <c r="D175" s="205"/>
      <c r="E175" s="205"/>
      <c r="F175" s="212"/>
      <c r="G175" s="273"/>
      <c r="H175" s="212"/>
      <c r="I175" s="230"/>
      <c r="J175" s="230"/>
      <c r="K175" s="230"/>
      <c r="L175" s="230"/>
      <c r="M175" s="230"/>
    </row>
    <row r="176" spans="1:13" ht="15.75">
      <c r="A176" s="275"/>
      <c r="B176" s="203"/>
      <c r="C176" s="230"/>
      <c r="D176" s="230"/>
      <c r="E176" s="261"/>
      <c r="F176" s="230"/>
      <c r="G176" s="230"/>
      <c r="H176" s="230"/>
      <c r="I176" s="230"/>
      <c r="J176" s="230"/>
      <c r="K176" s="230"/>
      <c r="L176" s="230"/>
      <c r="M176" s="230"/>
    </row>
    <row r="177" spans="1:13" ht="15.75">
      <c r="A177" s="276"/>
      <c r="B177" s="204"/>
      <c r="C177" s="204"/>
      <c r="D177" s="277"/>
      <c r="E177" s="278"/>
      <c r="F177" s="212"/>
      <c r="G177" s="273"/>
      <c r="H177" s="212"/>
      <c r="I177" s="230"/>
      <c r="J177" s="230"/>
      <c r="K177" s="230"/>
      <c r="L177" s="230"/>
      <c r="M177" s="230"/>
    </row>
    <row r="178" spans="1:13" ht="15.75">
      <c r="A178" s="276"/>
      <c r="B178" s="204"/>
      <c r="C178" s="204"/>
      <c r="D178" s="277"/>
      <c r="E178" s="278"/>
      <c r="F178" s="212"/>
      <c r="G178" s="273"/>
      <c r="H178" s="212"/>
      <c r="I178" s="230"/>
      <c r="J178" s="230"/>
      <c r="K178" s="230"/>
      <c r="L178" s="230"/>
      <c r="M178" s="230"/>
    </row>
    <row r="179" spans="1:13" ht="15.75">
      <c r="A179" s="276"/>
      <c r="B179" s="204"/>
      <c r="C179" s="204"/>
      <c r="D179" s="277"/>
      <c r="E179" s="278"/>
      <c r="F179" s="212"/>
      <c r="G179" s="273"/>
      <c r="H179" s="212"/>
      <c r="I179" s="230"/>
      <c r="J179" s="230"/>
      <c r="K179" s="230"/>
      <c r="L179" s="230"/>
      <c r="M179" s="230"/>
    </row>
    <row r="180" spans="1:13" ht="15.75">
      <c r="A180" s="276"/>
      <c r="B180" s="279"/>
      <c r="C180" s="204"/>
      <c r="D180" s="277"/>
      <c r="E180" s="278"/>
      <c r="F180" s="212"/>
      <c r="G180" s="273"/>
      <c r="H180" s="212"/>
      <c r="I180" s="230"/>
      <c r="J180" s="230"/>
      <c r="K180" s="230"/>
      <c r="L180" s="230"/>
      <c r="M180" s="230"/>
    </row>
    <row r="181" spans="1:13" ht="15.75">
      <c r="A181" s="276"/>
      <c r="B181" s="279"/>
      <c r="C181" s="204"/>
      <c r="D181" s="277"/>
      <c r="E181" s="278"/>
      <c r="F181" s="212"/>
      <c r="G181" s="273"/>
      <c r="H181" s="212"/>
      <c r="I181" s="230"/>
      <c r="J181" s="230"/>
      <c r="K181" s="230"/>
      <c r="L181" s="230"/>
      <c r="M181" s="230"/>
    </row>
    <row r="182" spans="1:13" ht="15.75">
      <c r="A182" s="276"/>
      <c r="B182" s="204"/>
      <c r="C182" s="204"/>
      <c r="D182" s="277"/>
      <c r="E182" s="278"/>
      <c r="F182" s="212"/>
      <c r="G182" s="273"/>
      <c r="H182" s="212"/>
      <c r="I182" s="230"/>
      <c r="J182" s="230"/>
      <c r="K182" s="230"/>
      <c r="L182" s="230"/>
      <c r="M182" s="230"/>
    </row>
    <row r="183" spans="1:13" ht="15.75">
      <c r="A183" s="275"/>
      <c r="B183" s="220"/>
      <c r="C183" s="230"/>
      <c r="D183" s="230"/>
      <c r="E183" s="261"/>
      <c r="F183" s="230"/>
      <c r="G183" s="230"/>
      <c r="H183" s="230"/>
      <c r="I183" s="230"/>
      <c r="J183" s="230"/>
      <c r="K183" s="230"/>
      <c r="L183" s="230"/>
      <c r="M183" s="230"/>
    </row>
    <row r="184" spans="1:13" ht="15.75">
      <c r="A184" s="275"/>
      <c r="B184" s="203"/>
      <c r="C184" s="230"/>
      <c r="D184" s="230"/>
      <c r="E184" s="261"/>
      <c r="F184" s="230"/>
      <c r="G184" s="230"/>
      <c r="H184" s="230"/>
      <c r="I184" s="230"/>
      <c r="J184" s="230"/>
      <c r="K184" s="230"/>
      <c r="L184" s="230"/>
      <c r="M184" s="230"/>
    </row>
    <row r="185" spans="1:13" ht="15.75">
      <c r="A185" s="275"/>
      <c r="B185" s="274"/>
      <c r="C185" s="204"/>
      <c r="D185" s="205"/>
      <c r="E185" s="205"/>
      <c r="F185" s="212"/>
      <c r="G185" s="273"/>
      <c r="H185" s="212"/>
      <c r="I185" s="230"/>
      <c r="J185" s="230"/>
      <c r="K185" s="230"/>
      <c r="L185" s="230"/>
      <c r="M185" s="230"/>
    </row>
    <row r="186" spans="1:13" ht="15.75">
      <c r="A186" s="202"/>
      <c r="B186" s="204"/>
      <c r="C186" s="204"/>
      <c r="D186" s="205"/>
      <c r="E186" s="205"/>
      <c r="F186" s="212"/>
      <c r="G186" s="273"/>
      <c r="H186" s="212"/>
      <c r="I186" s="230"/>
      <c r="J186" s="230"/>
      <c r="K186" s="230"/>
      <c r="L186" s="230"/>
      <c r="M186" s="230"/>
    </row>
    <row r="187" spans="1:13" ht="15.75">
      <c r="A187" s="275"/>
      <c r="B187" s="203"/>
      <c r="C187" s="230"/>
      <c r="D187" s="230"/>
      <c r="E187" s="261"/>
      <c r="F187" s="230"/>
      <c r="G187" s="230"/>
      <c r="H187" s="230"/>
      <c r="I187" s="230"/>
      <c r="J187" s="230"/>
      <c r="K187" s="230"/>
      <c r="L187" s="230"/>
      <c r="M187" s="230"/>
    </row>
    <row r="188" spans="1:13" ht="15.75">
      <c r="A188" s="276"/>
      <c r="B188" s="204"/>
      <c r="C188" s="204"/>
      <c r="D188" s="277"/>
      <c r="E188" s="278"/>
      <c r="F188" s="212"/>
      <c r="G188" s="273"/>
      <c r="H188" s="212"/>
      <c r="I188" s="230"/>
      <c r="J188" s="230"/>
      <c r="K188" s="230"/>
      <c r="L188" s="230"/>
      <c r="M188" s="230"/>
    </row>
    <row r="189" spans="1:13" ht="15.75">
      <c r="A189" s="276"/>
      <c r="B189" s="220"/>
      <c r="C189" s="204"/>
      <c r="D189" s="277"/>
      <c r="E189" s="278"/>
      <c r="F189" s="212"/>
      <c r="G189" s="273"/>
      <c r="H189" s="212"/>
      <c r="I189" s="230"/>
      <c r="J189" s="230"/>
      <c r="K189" s="230"/>
      <c r="L189" s="230"/>
      <c r="M189" s="230"/>
    </row>
    <row r="190" spans="1:13" ht="15.75">
      <c r="A190" s="276"/>
      <c r="B190" s="204"/>
      <c r="C190" s="204"/>
      <c r="D190" s="277"/>
      <c r="E190" s="278"/>
      <c r="F190" s="212"/>
      <c r="G190" s="273"/>
      <c r="H190" s="212"/>
      <c r="I190" s="230"/>
      <c r="J190" s="230"/>
      <c r="K190" s="230"/>
      <c r="L190" s="230"/>
      <c r="M190" s="230"/>
    </row>
    <row r="191" spans="1:13" ht="15.75">
      <c r="A191" s="276"/>
      <c r="B191" s="220"/>
      <c r="C191" s="204"/>
      <c r="D191" s="277"/>
      <c r="E191" s="278"/>
      <c r="F191" s="212"/>
      <c r="G191" s="273"/>
      <c r="H191" s="212"/>
      <c r="I191" s="230"/>
      <c r="J191" s="230"/>
      <c r="K191" s="230"/>
      <c r="L191" s="230"/>
      <c r="M191" s="230"/>
    </row>
    <row r="192" spans="1:13" ht="15.75">
      <c r="A192" s="276"/>
      <c r="B192" s="204"/>
      <c r="C192" s="204"/>
      <c r="D192" s="277"/>
      <c r="E192" s="278"/>
      <c r="F192" s="212"/>
      <c r="G192" s="273"/>
      <c r="H192" s="212"/>
      <c r="I192" s="230"/>
      <c r="J192" s="230"/>
      <c r="K192" s="230"/>
      <c r="L192" s="230"/>
      <c r="M192" s="230"/>
    </row>
    <row r="193" spans="1:13" ht="15.75">
      <c r="A193" s="276"/>
      <c r="B193" s="204"/>
      <c r="C193" s="204"/>
      <c r="D193" s="277"/>
      <c r="E193" s="278"/>
      <c r="F193" s="212"/>
      <c r="G193" s="273"/>
      <c r="H193" s="212"/>
      <c r="I193" s="230"/>
      <c r="J193" s="230"/>
      <c r="K193" s="230"/>
      <c r="L193" s="230"/>
      <c r="M193" s="230"/>
    </row>
    <row r="194" spans="1:13" ht="15.75">
      <c r="A194" s="276"/>
      <c r="B194" s="279"/>
      <c r="C194" s="204"/>
      <c r="D194" s="277"/>
      <c r="E194" s="278"/>
      <c r="F194" s="212"/>
      <c r="G194" s="273"/>
      <c r="H194" s="212"/>
      <c r="I194" s="230"/>
      <c r="J194" s="230"/>
      <c r="K194" s="230"/>
      <c r="L194" s="230"/>
      <c r="M194" s="230"/>
    </row>
    <row r="195" spans="1:13" ht="15.75">
      <c r="A195" s="276"/>
      <c r="B195" s="204"/>
      <c r="C195" s="204"/>
      <c r="D195" s="277"/>
      <c r="E195" s="278"/>
      <c r="F195" s="212"/>
      <c r="G195" s="273"/>
      <c r="H195" s="212"/>
      <c r="I195" s="230"/>
      <c r="J195" s="230"/>
      <c r="K195" s="230"/>
      <c r="L195" s="230"/>
      <c r="M195" s="230"/>
    </row>
    <row r="196" spans="1:13" ht="15.75">
      <c r="A196" s="276"/>
      <c r="B196" s="204"/>
      <c r="C196" s="204"/>
      <c r="D196" s="277"/>
      <c r="E196" s="278"/>
      <c r="F196" s="212"/>
      <c r="G196" s="273"/>
      <c r="H196" s="212"/>
      <c r="I196" s="230"/>
      <c r="J196" s="230"/>
      <c r="K196" s="230"/>
      <c r="L196" s="230"/>
      <c r="M196" s="230"/>
    </row>
    <row r="197" spans="1:13" ht="15.75">
      <c r="A197" s="276"/>
      <c r="B197" s="220"/>
      <c r="C197" s="204"/>
      <c r="D197" s="205"/>
      <c r="E197" s="212"/>
      <c r="F197" s="212"/>
      <c r="G197" s="273"/>
      <c r="H197" s="212"/>
      <c r="I197" s="230"/>
      <c r="J197" s="230"/>
      <c r="K197" s="230"/>
      <c r="L197" s="230"/>
      <c r="M197" s="230"/>
    </row>
    <row r="198" spans="1:13" ht="15.75">
      <c r="A198" s="276"/>
      <c r="B198" s="274"/>
      <c r="C198" s="204"/>
      <c r="D198" s="205"/>
      <c r="E198" s="205"/>
      <c r="F198" s="212"/>
      <c r="G198" s="273"/>
      <c r="H198" s="212"/>
      <c r="I198" s="230"/>
      <c r="J198" s="230"/>
      <c r="K198" s="230"/>
      <c r="L198" s="230"/>
      <c r="M198" s="230"/>
    </row>
    <row r="199" spans="1:13" ht="15.75">
      <c r="A199" s="276"/>
      <c r="B199" s="204"/>
      <c r="C199" s="204"/>
      <c r="D199" s="205"/>
      <c r="E199" s="205"/>
      <c r="F199" s="212"/>
      <c r="G199" s="273"/>
      <c r="H199" s="212"/>
      <c r="I199" s="230"/>
      <c r="J199" s="230"/>
      <c r="K199" s="230"/>
      <c r="L199" s="230"/>
      <c r="M199" s="230"/>
    </row>
    <row r="200" spans="1:13" ht="15.75">
      <c r="A200" s="276"/>
      <c r="B200" s="203"/>
      <c r="C200" s="204"/>
      <c r="D200" s="205"/>
      <c r="E200" s="212"/>
      <c r="F200" s="212"/>
      <c r="G200" s="273"/>
      <c r="H200" s="212"/>
      <c r="I200" s="230"/>
      <c r="J200" s="230"/>
      <c r="K200" s="230"/>
      <c r="L200" s="230"/>
      <c r="M200" s="230"/>
    </row>
    <row r="201" spans="1:13" ht="15.75">
      <c r="A201" s="276"/>
      <c r="B201" s="220"/>
      <c r="C201" s="204"/>
      <c r="D201" s="205"/>
      <c r="E201" s="212"/>
      <c r="F201" s="212"/>
      <c r="G201" s="273"/>
      <c r="H201" s="212"/>
      <c r="I201" s="230"/>
      <c r="J201" s="230"/>
      <c r="K201" s="230"/>
      <c r="L201" s="230"/>
      <c r="M201" s="230"/>
    </row>
    <row r="202" spans="1:13" ht="15.75">
      <c r="A202" s="276"/>
      <c r="B202" s="220"/>
      <c r="C202" s="204"/>
      <c r="D202" s="205"/>
      <c r="E202" s="212"/>
      <c r="F202" s="212"/>
      <c r="G202" s="273"/>
      <c r="H202" s="212"/>
      <c r="I202" s="230"/>
      <c r="J202" s="230"/>
      <c r="K202" s="230"/>
      <c r="L202" s="230"/>
      <c r="M202" s="230"/>
    </row>
    <row r="203" spans="1:13" ht="15.75">
      <c r="A203" s="276"/>
      <c r="B203" s="220"/>
      <c r="C203" s="204"/>
      <c r="D203" s="205"/>
      <c r="E203" s="212"/>
      <c r="F203" s="212"/>
      <c r="G203" s="273"/>
      <c r="H203" s="212"/>
      <c r="I203" s="230"/>
      <c r="J203" s="230"/>
      <c r="K203" s="230"/>
      <c r="L203" s="230"/>
      <c r="M203" s="230"/>
    </row>
    <row r="204" spans="1:13" ht="15.75">
      <c r="A204" s="276"/>
      <c r="B204" s="220"/>
      <c r="C204" s="204"/>
      <c r="D204" s="205"/>
      <c r="E204" s="212"/>
      <c r="F204" s="212"/>
      <c r="G204" s="273"/>
      <c r="H204" s="212"/>
      <c r="I204" s="230"/>
      <c r="J204" s="230"/>
      <c r="K204" s="230"/>
      <c r="L204" s="230"/>
      <c r="M204" s="230"/>
    </row>
    <row r="205" spans="1:13" ht="15.75">
      <c r="A205" s="276"/>
      <c r="B205" s="204"/>
      <c r="C205" s="204"/>
      <c r="D205" s="205"/>
      <c r="E205" s="205"/>
      <c r="F205" s="273"/>
      <c r="G205" s="273"/>
      <c r="H205" s="212"/>
      <c r="I205" s="230"/>
      <c r="J205" s="230"/>
      <c r="K205" s="230"/>
      <c r="L205" s="230"/>
      <c r="M205" s="230"/>
    </row>
    <row r="206" spans="1:13" ht="15.75">
      <c r="A206" s="276"/>
      <c r="B206" s="204"/>
      <c r="C206" s="204"/>
      <c r="D206" s="205"/>
      <c r="E206" s="205"/>
      <c r="F206" s="280"/>
      <c r="G206" s="280"/>
      <c r="H206" s="280"/>
      <c r="I206" s="230"/>
      <c r="J206" s="230"/>
      <c r="K206" s="230"/>
      <c r="L206" s="230"/>
      <c r="M206" s="230"/>
    </row>
    <row r="207" spans="1:13" ht="15.75">
      <c r="A207" s="202"/>
      <c r="B207" s="274"/>
      <c r="C207" s="204"/>
      <c r="D207" s="205"/>
      <c r="E207" s="205"/>
      <c r="F207" s="212"/>
      <c r="G207" s="273"/>
      <c r="H207" s="212"/>
      <c r="I207" s="230"/>
      <c r="J207" s="230"/>
      <c r="K207" s="230"/>
      <c r="L207" s="230"/>
      <c r="M207" s="230"/>
    </row>
    <row r="208" spans="1:13" ht="15.75">
      <c r="A208" s="211"/>
      <c r="B208" s="204"/>
      <c r="C208" s="204"/>
      <c r="D208" s="205"/>
      <c r="E208" s="205"/>
      <c r="F208" s="212"/>
      <c r="G208" s="273"/>
      <c r="H208" s="212"/>
      <c r="I208" s="230"/>
      <c r="J208" s="230"/>
      <c r="K208" s="230"/>
      <c r="L208" s="230"/>
      <c r="M208" s="230"/>
    </row>
    <row r="209" spans="1:13" ht="15.75">
      <c r="A209" s="211"/>
      <c r="B209" s="203"/>
      <c r="C209" s="204"/>
      <c r="D209" s="205"/>
      <c r="E209" s="205"/>
      <c r="F209" s="212"/>
      <c r="G209" s="273"/>
      <c r="H209" s="212"/>
      <c r="I209" s="230"/>
      <c r="J209" s="230"/>
      <c r="K209" s="230"/>
      <c r="L209" s="230"/>
      <c r="M209" s="230"/>
    </row>
    <row r="210" spans="1:13" ht="15.75">
      <c r="A210" s="276"/>
      <c r="B210" s="204"/>
      <c r="C210" s="204"/>
      <c r="D210" s="205"/>
      <c r="E210" s="212"/>
      <c r="F210" s="212"/>
      <c r="G210" s="273"/>
      <c r="H210" s="212"/>
      <c r="I210" s="230"/>
      <c r="J210" s="230"/>
      <c r="K210" s="230"/>
      <c r="L210" s="230"/>
      <c r="M210" s="230"/>
    </row>
    <row r="211" spans="1:13" ht="15.75">
      <c r="A211" s="276"/>
      <c r="B211" s="220"/>
      <c r="C211" s="204"/>
      <c r="D211" s="205"/>
      <c r="E211" s="212"/>
      <c r="F211" s="212"/>
      <c r="G211" s="273"/>
      <c r="H211" s="212"/>
      <c r="I211" s="230"/>
      <c r="J211" s="230"/>
      <c r="K211" s="230"/>
      <c r="L211" s="230"/>
      <c r="M211" s="230"/>
    </row>
    <row r="212" spans="1:13" ht="15.75">
      <c r="A212" s="276"/>
      <c r="B212" s="220"/>
      <c r="C212" s="204"/>
      <c r="D212" s="205"/>
      <c r="E212" s="212"/>
      <c r="F212" s="212"/>
      <c r="G212" s="273"/>
      <c r="H212" s="212"/>
      <c r="I212" s="230"/>
      <c r="J212" s="230"/>
      <c r="K212" s="230"/>
      <c r="L212" s="230"/>
      <c r="M212" s="230"/>
    </row>
    <row r="213" spans="1:13" ht="15.75">
      <c r="A213" s="276"/>
      <c r="B213" s="204"/>
      <c r="C213" s="204"/>
      <c r="D213" s="205"/>
      <c r="E213" s="212"/>
      <c r="F213" s="212"/>
      <c r="G213" s="273"/>
      <c r="H213" s="212"/>
      <c r="I213" s="230"/>
      <c r="J213" s="230"/>
      <c r="K213" s="230"/>
      <c r="L213" s="230"/>
      <c r="M213" s="230"/>
    </row>
    <row r="214" spans="1:13" ht="15.75">
      <c r="A214" s="211"/>
      <c r="B214" s="274"/>
      <c r="C214" s="204"/>
      <c r="D214" s="205"/>
      <c r="E214" s="205"/>
      <c r="F214" s="212"/>
      <c r="G214" s="273"/>
      <c r="H214" s="212"/>
      <c r="I214" s="230"/>
      <c r="J214" s="230"/>
      <c r="K214" s="230"/>
      <c r="L214" s="230"/>
      <c r="M214" s="230"/>
    </row>
    <row r="215" spans="1:13" ht="15.75">
      <c r="A215" s="202"/>
      <c r="B215" s="204"/>
      <c r="C215" s="204"/>
      <c r="D215" s="205"/>
      <c r="E215" s="205"/>
      <c r="F215" s="212"/>
      <c r="G215" s="273"/>
      <c r="H215" s="212"/>
      <c r="I215" s="230"/>
      <c r="J215" s="230"/>
      <c r="K215" s="230"/>
      <c r="L215" s="230"/>
      <c r="M215" s="230"/>
    </row>
    <row r="216" spans="7:13" ht="15.75">
      <c r="G216" s="280"/>
      <c r="H216" s="280"/>
      <c r="I216" s="230"/>
      <c r="J216" s="230"/>
      <c r="K216" s="230"/>
      <c r="L216" s="230"/>
      <c r="M216" s="230"/>
    </row>
    <row r="217" spans="7:13" ht="15.75">
      <c r="G217" s="280"/>
      <c r="H217" s="280"/>
      <c r="I217" s="230"/>
      <c r="J217" s="230"/>
      <c r="K217" s="230"/>
      <c r="L217" s="230"/>
      <c r="M217" s="230"/>
    </row>
    <row r="218" spans="7:13" ht="15.75">
      <c r="G218" s="280"/>
      <c r="H218" s="280"/>
      <c r="I218" s="230"/>
      <c r="J218" s="230"/>
      <c r="K218" s="230"/>
      <c r="L218" s="230"/>
      <c r="M218" s="230"/>
    </row>
    <row r="219" spans="7:13" ht="15.75">
      <c r="G219" s="280"/>
      <c r="H219" s="280"/>
      <c r="I219" s="230"/>
      <c r="J219" s="230"/>
      <c r="K219" s="230"/>
      <c r="L219" s="230"/>
      <c r="M219" s="230"/>
    </row>
    <row r="220" spans="7:13" ht="15.75">
      <c r="G220" s="280"/>
      <c r="H220" s="280"/>
      <c r="I220" s="230"/>
      <c r="J220" s="230"/>
      <c r="K220" s="230"/>
      <c r="L220" s="230"/>
      <c r="M220" s="230"/>
    </row>
    <row r="221" spans="7:13" ht="15.75">
      <c r="G221" s="280"/>
      <c r="H221" s="280"/>
      <c r="I221" s="230"/>
      <c r="J221" s="230"/>
      <c r="K221" s="230"/>
      <c r="L221" s="230"/>
      <c r="M221" s="230"/>
    </row>
    <row r="222" spans="7:13" ht="15.75">
      <c r="G222" s="280"/>
      <c r="H222" s="280"/>
      <c r="I222" s="230"/>
      <c r="J222" s="230"/>
      <c r="K222" s="230"/>
      <c r="L222" s="230"/>
      <c r="M222" s="230"/>
    </row>
    <row r="223" spans="7:13" ht="15.75">
      <c r="G223" s="280"/>
      <c r="H223" s="280"/>
      <c r="I223" s="230"/>
      <c r="J223" s="230"/>
      <c r="K223" s="230"/>
      <c r="L223" s="230"/>
      <c r="M223" s="230"/>
    </row>
    <row r="224" spans="7:13" ht="15.75">
      <c r="G224" s="280"/>
      <c r="H224" s="280"/>
      <c r="I224" s="230"/>
      <c r="J224" s="230"/>
      <c r="K224" s="230"/>
      <c r="L224" s="230"/>
      <c r="M224" s="230"/>
    </row>
    <row r="225" spans="7:13" ht="15.75">
      <c r="G225" s="280"/>
      <c r="H225" s="280"/>
      <c r="I225" s="230"/>
      <c r="J225" s="230"/>
      <c r="K225" s="230"/>
      <c r="L225" s="230"/>
      <c r="M225" s="230"/>
    </row>
    <row r="226" spans="7:13" ht="15.75">
      <c r="G226" s="280"/>
      <c r="H226" s="280"/>
      <c r="I226" s="230"/>
      <c r="J226" s="230"/>
      <c r="K226" s="230"/>
      <c r="L226" s="230"/>
      <c r="M226" s="230"/>
    </row>
    <row r="227" spans="7:13" ht="15.75">
      <c r="G227" s="280"/>
      <c r="H227" s="280"/>
      <c r="I227" s="230"/>
      <c r="J227" s="230"/>
      <c r="K227" s="230"/>
      <c r="L227" s="230"/>
      <c r="M227" s="230"/>
    </row>
    <row r="228" spans="7:13" ht="15.75">
      <c r="G228" s="280"/>
      <c r="H228" s="280"/>
      <c r="I228" s="230"/>
      <c r="J228" s="230"/>
      <c r="K228" s="230"/>
      <c r="L228" s="230"/>
      <c r="M228" s="230"/>
    </row>
    <row r="229" spans="7:13" ht="15.75">
      <c r="G229" s="280"/>
      <c r="H229" s="280"/>
      <c r="I229" s="230"/>
      <c r="J229" s="230"/>
      <c r="K229" s="230"/>
      <c r="L229" s="230"/>
      <c r="M229" s="230"/>
    </row>
    <row r="230" spans="7:13" ht="15.75">
      <c r="G230" s="280"/>
      <c r="H230" s="280"/>
      <c r="I230" s="230"/>
      <c r="J230" s="230"/>
      <c r="K230" s="230"/>
      <c r="L230" s="230"/>
      <c r="M230" s="230"/>
    </row>
    <row r="231" spans="7:13" ht="15.75">
      <c r="G231" s="280"/>
      <c r="H231" s="280"/>
      <c r="I231" s="230"/>
      <c r="J231" s="230"/>
      <c r="K231" s="230"/>
      <c r="L231" s="230"/>
      <c r="M231" s="230"/>
    </row>
    <row r="232" spans="7:13" ht="15.75">
      <c r="G232" s="280"/>
      <c r="H232" s="280"/>
      <c r="I232" s="230"/>
      <c r="J232" s="230"/>
      <c r="K232" s="230"/>
      <c r="L232" s="230"/>
      <c r="M232" s="230"/>
    </row>
    <row r="233" spans="7:13" ht="15.75">
      <c r="G233" s="280"/>
      <c r="H233" s="280"/>
      <c r="I233" s="230"/>
      <c r="J233" s="230"/>
      <c r="K233" s="230"/>
      <c r="L233" s="230"/>
      <c r="M233" s="230"/>
    </row>
    <row r="234" spans="7:13" ht="15.75">
      <c r="G234" s="280"/>
      <c r="H234" s="280"/>
      <c r="I234" s="230"/>
      <c r="J234" s="230"/>
      <c r="K234" s="230"/>
      <c r="L234" s="230"/>
      <c r="M234" s="230"/>
    </row>
    <row r="235" spans="7:13" ht="15.75">
      <c r="G235" s="280"/>
      <c r="H235" s="280"/>
      <c r="I235" s="230"/>
      <c r="J235" s="230"/>
      <c r="K235" s="230"/>
      <c r="L235" s="230"/>
      <c r="M235" s="230"/>
    </row>
    <row r="236" spans="7:13" ht="15.75">
      <c r="G236" s="280"/>
      <c r="H236" s="280"/>
      <c r="I236" s="230"/>
      <c r="J236" s="230"/>
      <c r="K236" s="230"/>
      <c r="L236" s="230"/>
      <c r="M236" s="230"/>
    </row>
    <row r="237" spans="7:13" ht="15.75">
      <c r="G237" s="280"/>
      <c r="H237" s="280"/>
      <c r="I237" s="230"/>
      <c r="J237" s="230"/>
      <c r="K237" s="230"/>
      <c r="L237" s="230"/>
      <c r="M237" s="230"/>
    </row>
    <row r="238" spans="7:13" ht="15.75">
      <c r="G238" s="280"/>
      <c r="H238" s="280"/>
      <c r="I238" s="230"/>
      <c r="J238" s="230"/>
      <c r="K238" s="230"/>
      <c r="L238" s="230"/>
      <c r="M238" s="230"/>
    </row>
    <row r="239" spans="7:13" ht="15.75">
      <c r="G239" s="280"/>
      <c r="H239" s="280"/>
      <c r="I239" s="230"/>
      <c r="J239" s="230"/>
      <c r="K239" s="230"/>
      <c r="L239" s="230"/>
      <c r="M239" s="230"/>
    </row>
    <row r="240" spans="7:13" ht="15.75">
      <c r="G240" s="280"/>
      <c r="H240" s="280"/>
      <c r="I240" s="230"/>
      <c r="J240" s="230"/>
      <c r="K240" s="230"/>
      <c r="L240" s="230"/>
      <c r="M240" s="230"/>
    </row>
    <row r="241" spans="7:13" ht="15.75">
      <c r="G241" s="280"/>
      <c r="H241" s="280"/>
      <c r="I241" s="230"/>
      <c r="J241" s="230"/>
      <c r="K241" s="230"/>
      <c r="L241" s="230"/>
      <c r="M241" s="230"/>
    </row>
    <row r="242" spans="7:13" ht="15.75">
      <c r="G242" s="280"/>
      <c r="H242" s="280"/>
      <c r="I242" s="230"/>
      <c r="J242" s="230"/>
      <c r="K242" s="230"/>
      <c r="L242" s="230"/>
      <c r="M242" s="230"/>
    </row>
    <row r="243" spans="1:13" ht="15.75">
      <c r="A243" s="250"/>
      <c r="B243" s="220"/>
      <c r="C243" s="204"/>
      <c r="D243" s="205"/>
      <c r="E243" s="212"/>
      <c r="F243" s="212"/>
      <c r="G243" s="273"/>
      <c r="H243" s="212"/>
      <c r="I243" s="230"/>
      <c r="J243" s="230"/>
      <c r="K243" s="230"/>
      <c r="L243" s="230"/>
      <c r="M243" s="230"/>
    </row>
    <row r="244" spans="1:13" ht="15.75">
      <c r="A244" s="172"/>
      <c r="B244" s="172"/>
      <c r="C244" s="172"/>
      <c r="D244" s="172"/>
      <c r="E244" s="218"/>
      <c r="F244" s="172"/>
      <c r="G244" s="230"/>
      <c r="H244" s="230"/>
      <c r="I244" s="230"/>
      <c r="J244" s="230"/>
      <c r="K244" s="230"/>
      <c r="L244" s="230"/>
      <c r="M244" s="230"/>
    </row>
    <row r="245" spans="1:13" ht="15.75">
      <c r="A245" s="172"/>
      <c r="B245" s="172"/>
      <c r="C245" s="172"/>
      <c r="D245" s="172"/>
      <c r="E245" s="218"/>
      <c r="F245" s="172"/>
      <c r="G245" s="230"/>
      <c r="H245" s="230"/>
      <c r="I245" s="230"/>
      <c r="J245" s="230"/>
      <c r="K245" s="230"/>
      <c r="L245" s="230"/>
      <c r="M245" s="230"/>
    </row>
    <row r="246" spans="1:13" ht="15.75">
      <c r="A246" s="172"/>
      <c r="B246" s="172"/>
      <c r="C246" s="172"/>
      <c r="D246" s="172"/>
      <c r="E246" s="218"/>
      <c r="F246" s="172"/>
      <c r="G246" s="230"/>
      <c r="H246" s="230"/>
      <c r="I246" s="230"/>
      <c r="J246" s="230"/>
      <c r="K246" s="230"/>
      <c r="L246" s="230"/>
      <c r="M246" s="230"/>
    </row>
    <row r="247" spans="1:13" ht="15.75">
      <c r="A247" s="172"/>
      <c r="B247" s="172"/>
      <c r="C247" s="172"/>
      <c r="D247" s="172"/>
      <c r="E247" s="218"/>
      <c r="F247" s="172"/>
      <c r="G247" s="230"/>
      <c r="H247" s="230"/>
      <c r="I247" s="230"/>
      <c r="J247" s="230"/>
      <c r="K247" s="230"/>
      <c r="L247" s="230"/>
      <c r="M247" s="230"/>
    </row>
    <row r="248" spans="1:13" ht="15.75">
      <c r="A248" s="172"/>
      <c r="B248" s="172"/>
      <c r="C248" s="172"/>
      <c r="D248" s="172"/>
      <c r="E248" s="218"/>
      <c r="F248" s="172"/>
      <c r="G248" s="230"/>
      <c r="H248" s="230"/>
      <c r="I248" s="230"/>
      <c r="J248" s="230"/>
      <c r="K248" s="230"/>
      <c r="L248" s="230"/>
      <c r="M248" s="230"/>
    </row>
    <row r="249" spans="1:13" ht="15.75">
      <c r="A249" s="250"/>
      <c r="B249" s="204"/>
      <c r="C249" s="204"/>
      <c r="D249" s="205"/>
      <c r="E249" s="205"/>
      <c r="F249" s="273"/>
      <c r="G249" s="273"/>
      <c r="H249" s="212"/>
      <c r="I249" s="230"/>
      <c r="J249" s="230"/>
      <c r="K249" s="230"/>
      <c r="L249" s="230"/>
      <c r="M249" s="230"/>
    </row>
    <row r="250" spans="1:13" ht="15.75">
      <c r="A250" s="250"/>
      <c r="B250" s="274"/>
      <c r="C250" s="204"/>
      <c r="D250" s="205"/>
      <c r="E250" s="205"/>
      <c r="F250" s="212"/>
      <c r="G250" s="273"/>
      <c r="H250" s="212"/>
      <c r="I250" s="230"/>
      <c r="J250" s="230"/>
      <c r="K250" s="230"/>
      <c r="L250" s="230"/>
      <c r="M250" s="230"/>
    </row>
    <row r="251" spans="1:13" ht="15.75">
      <c r="A251" s="261"/>
      <c r="B251" s="204"/>
      <c r="C251" s="204"/>
      <c r="D251" s="205"/>
      <c r="E251" s="205"/>
      <c r="F251" s="280"/>
      <c r="G251" s="212"/>
      <c r="H251" s="280"/>
      <c r="I251" s="230"/>
      <c r="J251" s="230"/>
      <c r="K251" s="230"/>
      <c r="L251" s="230"/>
      <c r="M251" s="230"/>
    </row>
    <row r="252" spans="1:13" ht="15.75">
      <c r="A252" s="205"/>
      <c r="B252" s="204"/>
      <c r="C252" s="204"/>
      <c r="D252" s="205"/>
      <c r="E252" s="205"/>
      <c r="F252" s="212"/>
      <c r="G252" s="273"/>
      <c r="H252" s="212"/>
      <c r="I252" s="230"/>
      <c r="J252" s="230"/>
      <c r="K252" s="230"/>
      <c r="L252" s="230"/>
      <c r="M252" s="230"/>
    </row>
    <row r="253" spans="1:13" ht="15.75">
      <c r="A253" s="261"/>
      <c r="B253" s="203"/>
      <c r="C253" s="204"/>
      <c r="D253" s="205"/>
      <c r="E253" s="206"/>
      <c r="F253" s="212"/>
      <c r="G253" s="273"/>
      <c r="H253" s="212"/>
      <c r="I253" s="230"/>
      <c r="J253" s="230"/>
      <c r="K253" s="230"/>
      <c r="L253" s="230"/>
      <c r="M253" s="230"/>
    </row>
    <row r="254" spans="1:13" ht="15.75">
      <c r="A254" s="250"/>
      <c r="B254" s="220"/>
      <c r="C254" s="204"/>
      <c r="D254" s="205"/>
      <c r="E254" s="212"/>
      <c r="F254" s="212"/>
      <c r="G254" s="273"/>
      <c r="H254" s="212"/>
      <c r="I254" s="230"/>
      <c r="J254" s="230"/>
      <c r="K254" s="230"/>
      <c r="L254" s="230"/>
      <c r="M254" s="230"/>
    </row>
    <row r="255" spans="1:13" ht="15.75">
      <c r="A255" s="261"/>
      <c r="B255" s="220"/>
      <c r="C255" s="204"/>
      <c r="D255" s="205"/>
      <c r="E255" s="212"/>
      <c r="F255" s="212"/>
      <c r="G255" s="273"/>
      <c r="H255" s="212"/>
      <c r="I255" s="230"/>
      <c r="J255" s="230"/>
      <c r="K255" s="230"/>
      <c r="L255" s="230"/>
      <c r="M255" s="230"/>
    </row>
    <row r="256" spans="1:13" ht="15.75">
      <c r="A256" s="250"/>
      <c r="B256" s="220"/>
      <c r="C256" s="204"/>
      <c r="D256" s="205"/>
      <c r="E256" s="212"/>
      <c r="F256" s="212"/>
      <c r="G256" s="273"/>
      <c r="H256" s="212"/>
      <c r="I256" s="230"/>
      <c r="J256" s="230"/>
      <c r="K256" s="230"/>
      <c r="L256" s="230"/>
      <c r="M256" s="230"/>
    </row>
    <row r="257" spans="1:13" ht="15.75">
      <c r="A257" s="250"/>
      <c r="B257" s="220"/>
      <c r="C257" s="204"/>
      <c r="D257" s="205"/>
      <c r="E257" s="212"/>
      <c r="F257" s="212"/>
      <c r="G257" s="273"/>
      <c r="H257" s="212"/>
      <c r="I257" s="230"/>
      <c r="J257" s="230"/>
      <c r="K257" s="230"/>
      <c r="L257" s="230"/>
      <c r="M257" s="230"/>
    </row>
    <row r="258" spans="1:13" ht="15.75">
      <c r="A258" s="261"/>
      <c r="B258" s="220"/>
      <c r="C258" s="204"/>
      <c r="D258" s="205"/>
      <c r="E258" s="212"/>
      <c r="F258" s="212"/>
      <c r="G258" s="273"/>
      <c r="H258" s="212"/>
      <c r="I258" s="230"/>
      <c r="J258" s="230"/>
      <c r="K258" s="230"/>
      <c r="L258" s="230"/>
      <c r="M258" s="230"/>
    </row>
    <row r="259" spans="1:13" ht="15.75">
      <c r="A259" s="250"/>
      <c r="B259" s="220"/>
      <c r="C259" s="204"/>
      <c r="D259" s="205"/>
      <c r="E259" s="212"/>
      <c r="F259" s="212"/>
      <c r="G259" s="273"/>
      <c r="H259" s="212"/>
      <c r="I259" s="230"/>
      <c r="J259" s="230"/>
      <c r="K259" s="230"/>
      <c r="L259" s="230"/>
      <c r="M259" s="230"/>
    </row>
    <row r="260" spans="1:13" ht="15.75">
      <c r="A260" s="250"/>
      <c r="B260" s="204"/>
      <c r="C260" s="204"/>
      <c r="D260" s="205"/>
      <c r="E260" s="205"/>
      <c r="F260" s="212"/>
      <c r="G260" s="273"/>
      <c r="H260" s="212"/>
      <c r="I260" s="230"/>
      <c r="J260" s="230"/>
      <c r="K260" s="230"/>
      <c r="L260" s="230"/>
      <c r="M260" s="230"/>
    </row>
    <row r="261" spans="1:13" ht="15.75">
      <c r="A261" s="261"/>
      <c r="B261" s="220"/>
      <c r="C261" s="204"/>
      <c r="D261" s="205"/>
      <c r="E261" s="212"/>
      <c r="F261" s="212"/>
      <c r="G261" s="273"/>
      <c r="H261" s="212"/>
      <c r="I261" s="230"/>
      <c r="J261" s="230"/>
      <c r="K261" s="230"/>
      <c r="L261" s="230"/>
      <c r="M261" s="230"/>
    </row>
    <row r="262" spans="1:13" ht="15.75">
      <c r="A262" s="250"/>
      <c r="B262" s="204"/>
      <c r="C262" s="268"/>
      <c r="D262" s="277"/>
      <c r="E262" s="284"/>
      <c r="F262" s="212"/>
      <c r="G262" s="273"/>
      <c r="H262" s="212"/>
      <c r="I262" s="230"/>
      <c r="J262" s="230"/>
      <c r="K262" s="230"/>
      <c r="L262" s="230"/>
      <c r="M262" s="230"/>
    </row>
    <row r="263" spans="1:13" ht="15.75">
      <c r="A263" s="250"/>
      <c r="B263" s="220"/>
      <c r="C263" s="204"/>
      <c r="D263" s="205"/>
      <c r="E263" s="212"/>
      <c r="F263" s="212"/>
      <c r="G263" s="273"/>
      <c r="H263" s="212"/>
      <c r="I263" s="230"/>
      <c r="J263" s="230"/>
      <c r="K263" s="230"/>
      <c r="L263" s="230"/>
      <c r="M263" s="230"/>
    </row>
    <row r="264" spans="1:13" ht="15.75">
      <c r="A264" s="261"/>
      <c r="B264" s="204"/>
      <c r="C264" s="204"/>
      <c r="D264" s="205"/>
      <c r="E264" s="205"/>
      <c r="F264" s="273"/>
      <c r="G264" s="273"/>
      <c r="H264" s="212"/>
      <c r="I264" s="230"/>
      <c r="J264" s="230"/>
      <c r="K264" s="230"/>
      <c r="L264" s="230"/>
      <c r="M264" s="230"/>
    </row>
    <row r="265" spans="1:13" ht="15.75">
      <c r="A265" s="250"/>
      <c r="B265" s="274"/>
      <c r="C265" s="204"/>
      <c r="D265" s="205"/>
      <c r="E265" s="205"/>
      <c r="F265" s="212"/>
      <c r="G265" s="273"/>
      <c r="H265" s="212"/>
      <c r="I265" s="230"/>
      <c r="J265" s="230"/>
      <c r="K265" s="230"/>
      <c r="L265" s="230"/>
      <c r="M265" s="230"/>
    </row>
    <row r="266" spans="1:13" ht="15.75">
      <c r="A266" s="250"/>
      <c r="B266" s="204"/>
      <c r="C266" s="204"/>
      <c r="D266" s="205"/>
      <c r="E266" s="205"/>
      <c r="F266" s="280"/>
      <c r="G266" s="212"/>
      <c r="H266" s="280"/>
      <c r="I266" s="230"/>
      <c r="J266" s="230"/>
      <c r="K266" s="230"/>
      <c r="L266" s="230"/>
      <c r="M266" s="230"/>
    </row>
    <row r="267" spans="1:13" ht="15.75">
      <c r="A267" s="250"/>
      <c r="B267" s="230"/>
      <c r="C267" s="230"/>
      <c r="D267" s="230"/>
      <c r="E267" s="261"/>
      <c r="F267" s="230"/>
      <c r="G267" s="230"/>
      <c r="H267" s="230"/>
      <c r="I267" s="230"/>
      <c r="J267" s="230"/>
      <c r="K267" s="230"/>
      <c r="L267" s="230"/>
      <c r="M267" s="230"/>
    </row>
    <row r="268" spans="1:13" ht="15.75">
      <c r="A268" s="250"/>
      <c r="B268" s="203"/>
      <c r="C268" s="268"/>
      <c r="D268" s="277"/>
      <c r="E268" s="284"/>
      <c r="F268" s="213"/>
      <c r="G268" s="272"/>
      <c r="H268" s="213"/>
      <c r="I268" s="230"/>
      <c r="J268" s="230"/>
      <c r="K268" s="230"/>
      <c r="L268" s="230"/>
      <c r="M268" s="230"/>
    </row>
    <row r="269" spans="1:13" ht="15.75">
      <c r="A269" s="250"/>
      <c r="B269" s="204"/>
      <c r="C269" s="268"/>
      <c r="D269" s="277"/>
      <c r="E269" s="284"/>
      <c r="F269" s="213"/>
      <c r="G269" s="273"/>
      <c r="H269" s="213"/>
      <c r="I269" s="230"/>
      <c r="J269" s="230"/>
      <c r="K269" s="230"/>
      <c r="L269" s="230"/>
      <c r="M269" s="230"/>
    </row>
    <row r="270" spans="1:13" ht="15.75">
      <c r="A270" s="261"/>
      <c r="B270" s="204"/>
      <c r="C270" s="268"/>
      <c r="D270" s="277"/>
      <c r="E270" s="284"/>
      <c r="F270" s="213"/>
      <c r="G270" s="273"/>
      <c r="H270" s="213"/>
      <c r="I270" s="230"/>
      <c r="J270" s="230"/>
      <c r="K270" s="230"/>
      <c r="L270" s="230"/>
      <c r="M270" s="230"/>
    </row>
    <row r="271" spans="1:13" ht="15.75">
      <c r="A271" s="250"/>
      <c r="B271" s="204"/>
      <c r="C271" s="268"/>
      <c r="D271" s="277"/>
      <c r="E271" s="284"/>
      <c r="F271" s="213"/>
      <c r="G271" s="273"/>
      <c r="H271" s="213"/>
      <c r="I271" s="230"/>
      <c r="J271" s="230"/>
      <c r="K271" s="230"/>
      <c r="L271" s="230"/>
      <c r="M271" s="230"/>
    </row>
    <row r="272" spans="1:13" ht="15.75">
      <c r="A272" s="261"/>
      <c r="B272" s="204"/>
      <c r="C272" s="268"/>
      <c r="D272" s="277"/>
      <c r="E272" s="284"/>
      <c r="F272" s="213"/>
      <c r="G272" s="273"/>
      <c r="H272" s="213"/>
      <c r="I272" s="230"/>
      <c r="J272" s="230"/>
      <c r="K272" s="230"/>
      <c r="L272" s="230"/>
      <c r="M272" s="230"/>
    </row>
    <row r="273" spans="1:13" ht="15.75">
      <c r="A273" s="250"/>
      <c r="B273" s="204"/>
      <c r="C273" s="204"/>
      <c r="D273" s="277"/>
      <c r="E273" s="284"/>
      <c r="F273" s="213"/>
      <c r="G273" s="273"/>
      <c r="H273" s="213"/>
      <c r="I273" s="230"/>
      <c r="J273" s="230"/>
      <c r="K273" s="230"/>
      <c r="L273" s="230"/>
      <c r="M273" s="230"/>
    </row>
    <row r="274" spans="1:13" ht="15.75">
      <c r="A274" s="261"/>
      <c r="B274" s="268"/>
      <c r="C274" s="268"/>
      <c r="D274" s="277"/>
      <c r="E274" s="284"/>
      <c r="F274" s="213"/>
      <c r="G274" s="273"/>
      <c r="H274" s="213"/>
      <c r="I274" s="230"/>
      <c r="J274" s="230"/>
      <c r="K274" s="230"/>
      <c r="L274" s="230"/>
      <c r="M274" s="230"/>
    </row>
    <row r="275" spans="1:13" ht="15.75">
      <c r="A275" s="250"/>
      <c r="B275" s="268"/>
      <c r="C275" s="268"/>
      <c r="D275" s="277"/>
      <c r="E275" s="284"/>
      <c r="F275" s="213"/>
      <c r="G275" s="273"/>
      <c r="H275" s="213"/>
      <c r="I275" s="230"/>
      <c r="J275" s="230"/>
      <c r="K275" s="230"/>
      <c r="L275" s="230"/>
      <c r="M275" s="230"/>
    </row>
    <row r="276" spans="1:13" ht="15.75">
      <c r="A276" s="261"/>
      <c r="B276" s="268"/>
      <c r="C276" s="268"/>
      <c r="D276" s="277"/>
      <c r="E276" s="284"/>
      <c r="F276" s="213"/>
      <c r="G276" s="273"/>
      <c r="H276" s="213"/>
      <c r="I276" s="230"/>
      <c r="J276" s="230"/>
      <c r="K276" s="230"/>
      <c r="L276" s="230"/>
      <c r="M276" s="230"/>
    </row>
    <row r="277" spans="1:13" ht="15.75">
      <c r="A277" s="250"/>
      <c r="B277" s="268"/>
      <c r="C277" s="268"/>
      <c r="D277" s="277"/>
      <c r="E277" s="284"/>
      <c r="F277" s="213"/>
      <c r="G277" s="273"/>
      <c r="H277" s="213"/>
      <c r="I277" s="230"/>
      <c r="J277" s="230"/>
      <c r="K277" s="230"/>
      <c r="L277" s="230"/>
      <c r="M277" s="230"/>
    </row>
    <row r="278" spans="1:13" ht="15.75">
      <c r="A278" s="261"/>
      <c r="B278" s="228"/>
      <c r="C278" s="268"/>
      <c r="D278" s="277"/>
      <c r="E278" s="284"/>
      <c r="F278" s="213"/>
      <c r="G278" s="273"/>
      <c r="H278" s="213"/>
      <c r="I278" s="230"/>
      <c r="J278" s="230"/>
      <c r="K278" s="230"/>
      <c r="L278" s="230"/>
      <c r="M278" s="230"/>
    </row>
    <row r="279" spans="1:13" ht="15.75">
      <c r="A279" s="250"/>
      <c r="B279" s="228"/>
      <c r="C279" s="268"/>
      <c r="D279" s="277"/>
      <c r="E279" s="284"/>
      <c r="F279" s="213"/>
      <c r="G279" s="273"/>
      <c r="H279" s="213"/>
      <c r="I279" s="230"/>
      <c r="J279" s="230"/>
      <c r="K279" s="230"/>
      <c r="L279" s="230"/>
      <c r="M279" s="230"/>
    </row>
    <row r="280" spans="1:13" ht="15.75">
      <c r="A280" s="261"/>
      <c r="B280" s="228"/>
      <c r="C280" s="268"/>
      <c r="D280" s="277"/>
      <c r="E280" s="284"/>
      <c r="F280" s="213"/>
      <c r="G280" s="273"/>
      <c r="H280" s="213"/>
      <c r="I280" s="230"/>
      <c r="J280" s="230"/>
      <c r="K280" s="230"/>
      <c r="L280" s="230"/>
      <c r="M280" s="230"/>
    </row>
    <row r="281" spans="1:13" ht="15.75">
      <c r="A281" s="250"/>
      <c r="B281" s="204"/>
      <c r="C281" s="204"/>
      <c r="D281" s="205"/>
      <c r="E281" s="205"/>
      <c r="F281" s="213"/>
      <c r="G281" s="273"/>
      <c r="H281" s="213"/>
      <c r="I281" s="230"/>
      <c r="J281" s="230"/>
      <c r="K281" s="230"/>
      <c r="L281" s="230"/>
      <c r="M281" s="230"/>
    </row>
    <row r="282" spans="1:13" ht="15.75">
      <c r="A282" s="261"/>
      <c r="B282" s="274"/>
      <c r="C282" s="204"/>
      <c r="D282" s="205"/>
      <c r="E282" s="205"/>
      <c r="F282" s="213"/>
      <c r="G282" s="273"/>
      <c r="H282" s="213"/>
      <c r="I282" s="230"/>
      <c r="J282" s="230"/>
      <c r="K282" s="230"/>
      <c r="L282" s="230"/>
      <c r="M282" s="230"/>
    </row>
    <row r="283" spans="1:13" ht="15.75">
      <c r="A283" s="250"/>
      <c r="B283" s="204"/>
      <c r="C283" s="204"/>
      <c r="D283" s="205"/>
      <c r="E283" s="205"/>
      <c r="F283" s="213"/>
      <c r="G283" s="272"/>
      <c r="H283" s="213"/>
      <c r="I283" s="230"/>
      <c r="J283" s="230"/>
      <c r="K283" s="230"/>
      <c r="L283" s="230"/>
      <c r="M283" s="230"/>
    </row>
    <row r="284" spans="1:13" ht="15.75">
      <c r="A284" s="230"/>
      <c r="B284" s="230"/>
      <c r="C284" s="230"/>
      <c r="D284" s="230"/>
      <c r="E284" s="261"/>
      <c r="F284" s="230"/>
      <c r="G284" s="230"/>
      <c r="H284" s="230"/>
      <c r="I284" s="230"/>
      <c r="J284" s="230"/>
      <c r="K284" s="230"/>
      <c r="L284" s="230"/>
      <c r="M284" s="230"/>
    </row>
    <row r="285" spans="1:13" ht="15.75">
      <c r="A285" s="230"/>
      <c r="B285" s="230"/>
      <c r="C285" s="230"/>
      <c r="D285" s="230"/>
      <c r="E285" s="261"/>
      <c r="F285" s="230"/>
      <c r="G285" s="230"/>
      <c r="H285" s="230"/>
      <c r="I285" s="230"/>
      <c r="J285" s="230"/>
      <c r="K285" s="230"/>
      <c r="L285" s="230"/>
      <c r="M285" s="230"/>
    </row>
    <row r="286" spans="1:13" ht="15.75">
      <c r="A286" s="230"/>
      <c r="B286" s="230"/>
      <c r="C286" s="230"/>
      <c r="D286" s="230"/>
      <c r="E286" s="261"/>
      <c r="F286" s="230"/>
      <c r="G286" s="230"/>
      <c r="H286" s="230"/>
      <c r="I286" s="230"/>
      <c r="J286" s="230"/>
      <c r="K286" s="230"/>
      <c r="L286" s="230"/>
      <c r="M286" s="230"/>
    </row>
    <row r="287" spans="1:13" ht="15.75">
      <c r="A287" s="230"/>
      <c r="B287" s="230"/>
      <c r="C287" s="230"/>
      <c r="D287" s="230"/>
      <c r="E287" s="261"/>
      <c r="F287" s="230"/>
      <c r="G287" s="230"/>
      <c r="H287" s="230"/>
      <c r="I287" s="230"/>
      <c r="J287" s="230"/>
      <c r="K287" s="230"/>
      <c r="L287" s="230"/>
      <c r="M287" s="230"/>
    </row>
    <row r="288" spans="1:13" ht="15.75">
      <c r="A288" s="230"/>
      <c r="B288" s="230"/>
      <c r="C288" s="230"/>
      <c r="D288" s="230"/>
      <c r="E288" s="261"/>
      <c r="F288" s="230"/>
      <c r="G288" s="230"/>
      <c r="H288" s="230"/>
      <c r="I288" s="230"/>
      <c r="J288" s="230"/>
      <c r="K288" s="230"/>
      <c r="L288" s="230"/>
      <c r="M288" s="230"/>
    </row>
    <row r="289" spans="1:13" ht="15.75">
      <c r="A289" s="230"/>
      <c r="B289" s="230"/>
      <c r="C289" s="230"/>
      <c r="D289" s="230"/>
      <c r="E289" s="261"/>
      <c r="F289" s="230"/>
      <c r="G289" s="230"/>
      <c r="H289" s="230"/>
      <c r="I289" s="230"/>
      <c r="J289" s="230"/>
      <c r="K289" s="230"/>
      <c r="L289" s="230"/>
      <c r="M289" s="230"/>
    </row>
    <row r="290" spans="1:13" ht="15.75">
      <c r="A290" s="230"/>
      <c r="B290" s="230"/>
      <c r="C290" s="230"/>
      <c r="D290" s="230"/>
      <c r="E290" s="261"/>
      <c r="F290" s="230"/>
      <c r="G290" s="230"/>
      <c r="H290" s="230"/>
      <c r="I290" s="230"/>
      <c r="J290" s="230"/>
      <c r="K290" s="230"/>
      <c r="L290" s="230"/>
      <c r="M290" s="230"/>
    </row>
    <row r="291" spans="1:13" ht="15.75">
      <c r="A291" s="230"/>
      <c r="B291" s="230"/>
      <c r="C291" s="230"/>
      <c r="D291" s="230"/>
      <c r="E291" s="261"/>
      <c r="F291" s="230"/>
      <c r="G291" s="230"/>
      <c r="H291" s="230"/>
      <c r="I291" s="230"/>
      <c r="J291" s="230"/>
      <c r="K291" s="230"/>
      <c r="L291" s="230"/>
      <c r="M291" s="230"/>
    </row>
    <row r="292" spans="1:13" ht="15.75">
      <c r="A292" s="230"/>
      <c r="B292" s="230"/>
      <c r="C292" s="230"/>
      <c r="D292" s="230"/>
      <c r="E292" s="261"/>
      <c r="F292" s="230"/>
      <c r="G292" s="230"/>
      <c r="H292" s="230"/>
      <c r="I292" s="230"/>
      <c r="J292" s="230"/>
      <c r="K292" s="230"/>
      <c r="L292" s="230"/>
      <c r="M292" s="230"/>
    </row>
    <row r="293" spans="1:13" ht="15.75">
      <c r="A293" s="230"/>
      <c r="B293" s="230"/>
      <c r="C293" s="230"/>
      <c r="D293" s="230"/>
      <c r="E293" s="261"/>
      <c r="F293" s="230"/>
      <c r="G293" s="230"/>
      <c r="H293" s="230"/>
      <c r="I293" s="230"/>
      <c r="J293" s="230"/>
      <c r="K293" s="230"/>
      <c r="L293" s="230"/>
      <c r="M293" s="230"/>
    </row>
    <row r="294" spans="1:13" ht="15.75">
      <c r="A294" s="230"/>
      <c r="B294" s="230"/>
      <c r="C294" s="230"/>
      <c r="D294" s="230"/>
      <c r="E294" s="261"/>
      <c r="F294" s="230"/>
      <c r="G294" s="230"/>
      <c r="H294" s="230"/>
      <c r="I294" s="230"/>
      <c r="J294" s="230"/>
      <c r="K294" s="230"/>
      <c r="L294" s="230"/>
      <c r="M294" s="230"/>
    </row>
    <row r="295" spans="1:13" ht="15.75">
      <c r="A295" s="230"/>
      <c r="B295" s="230"/>
      <c r="C295" s="230"/>
      <c r="D295" s="230"/>
      <c r="E295" s="261"/>
      <c r="F295" s="230"/>
      <c r="G295" s="230"/>
      <c r="H295" s="230"/>
      <c r="I295" s="230"/>
      <c r="J295" s="230"/>
      <c r="K295" s="230"/>
      <c r="L295" s="230"/>
      <c r="M295" s="230"/>
    </row>
    <row r="296" spans="1:11" ht="15.75">
      <c r="A296" s="172"/>
      <c r="B296" s="172"/>
      <c r="C296" s="172"/>
      <c r="D296" s="172"/>
      <c r="E296" s="218"/>
      <c r="F296" s="172"/>
      <c r="G296" s="230"/>
      <c r="H296" s="230"/>
      <c r="I296" s="230"/>
      <c r="J296" s="230"/>
      <c r="K296" s="230"/>
    </row>
    <row r="297" spans="1:11" ht="15.75">
      <c r="A297" s="172"/>
      <c r="B297" s="172"/>
      <c r="C297" s="172"/>
      <c r="D297" s="172"/>
      <c r="E297" s="218"/>
      <c r="F297" s="172"/>
      <c r="G297" s="230"/>
      <c r="H297" s="230"/>
      <c r="I297" s="230"/>
      <c r="J297" s="230"/>
      <c r="K297" s="230"/>
    </row>
    <row r="298" spans="1:11" ht="15.75">
      <c r="A298" s="172"/>
      <c r="B298" s="172"/>
      <c r="C298" s="172"/>
      <c r="D298" s="172"/>
      <c r="E298" s="218"/>
      <c r="F298" s="172"/>
      <c r="G298" s="230"/>
      <c r="H298" s="230"/>
      <c r="I298" s="230"/>
      <c r="J298" s="230"/>
      <c r="K298" s="230"/>
    </row>
    <row r="299" spans="1:11" ht="15.75">
      <c r="A299" s="202"/>
      <c r="B299" s="203"/>
      <c r="C299" s="204"/>
      <c r="D299" s="205"/>
      <c r="E299" s="212"/>
      <c r="F299" s="212"/>
      <c r="G299" s="273"/>
      <c r="H299" s="212"/>
      <c r="I299" s="230"/>
      <c r="J299" s="230"/>
      <c r="K299" s="230"/>
    </row>
    <row r="300" spans="1:11" ht="15.75">
      <c r="A300" s="211"/>
      <c r="B300" s="220"/>
      <c r="C300" s="268"/>
      <c r="D300" s="205"/>
      <c r="E300" s="212"/>
      <c r="F300" s="212"/>
      <c r="G300" s="273"/>
      <c r="H300" s="212"/>
      <c r="I300" s="230"/>
      <c r="J300" s="230"/>
      <c r="K300" s="230"/>
    </row>
    <row r="301" spans="1:11" ht="15.75">
      <c r="A301" s="202"/>
      <c r="B301" s="204"/>
      <c r="C301" s="204"/>
      <c r="D301" s="205"/>
      <c r="E301" s="205"/>
      <c r="F301" s="212"/>
      <c r="G301" s="273"/>
      <c r="H301" s="212"/>
      <c r="I301" s="230"/>
      <c r="J301" s="230"/>
      <c r="K301" s="230"/>
    </row>
    <row r="302" spans="1:11" ht="15.75">
      <c r="A302" s="211"/>
      <c r="B302" s="228"/>
      <c r="C302" s="268"/>
      <c r="D302" s="277"/>
      <c r="E302" s="284"/>
      <c r="F302" s="212"/>
      <c r="G302" s="273"/>
      <c r="H302" s="212"/>
      <c r="I302" s="230"/>
      <c r="J302" s="230"/>
      <c r="K302" s="230"/>
    </row>
    <row r="303" spans="1:11" ht="15.75">
      <c r="A303" s="211"/>
      <c r="B303" s="220"/>
      <c r="C303" s="204"/>
      <c r="D303" s="205"/>
      <c r="E303" s="212"/>
      <c r="F303" s="212"/>
      <c r="G303" s="273"/>
      <c r="H303" s="212"/>
      <c r="I303" s="230"/>
      <c r="J303" s="230"/>
      <c r="K303" s="230"/>
    </row>
    <row r="304" spans="1:11" ht="15.75">
      <c r="A304" s="202"/>
      <c r="B304" s="220"/>
      <c r="C304" s="204"/>
      <c r="D304" s="205"/>
      <c r="E304" s="212"/>
      <c r="F304" s="212"/>
      <c r="G304" s="273"/>
      <c r="H304" s="212"/>
      <c r="I304" s="230"/>
      <c r="J304" s="230"/>
      <c r="K304" s="230"/>
    </row>
    <row r="305" spans="1:11" ht="15.75">
      <c r="A305" s="211"/>
      <c r="B305" s="220"/>
      <c r="C305" s="204"/>
      <c r="D305" s="205"/>
      <c r="E305" s="212"/>
      <c r="F305" s="212"/>
      <c r="G305" s="273"/>
      <c r="H305" s="212"/>
      <c r="I305" s="230"/>
      <c r="J305" s="230"/>
      <c r="K305" s="230"/>
    </row>
    <row r="306" spans="1:11" ht="15.75">
      <c r="A306" s="211"/>
      <c r="B306" s="204"/>
      <c r="C306" s="204"/>
      <c r="D306" s="205"/>
      <c r="E306" s="205"/>
      <c r="F306" s="212"/>
      <c r="G306" s="273"/>
      <c r="H306" s="212"/>
      <c r="I306" s="230"/>
      <c r="J306" s="230"/>
      <c r="K306" s="230"/>
    </row>
    <row r="307" spans="1:11" ht="15.75">
      <c r="A307" s="202"/>
      <c r="B307" s="204"/>
      <c r="C307" s="204"/>
      <c r="D307" s="205"/>
      <c r="E307" s="205"/>
      <c r="F307" s="212"/>
      <c r="G307" s="273"/>
      <c r="H307" s="212"/>
      <c r="I307" s="230"/>
      <c r="J307" s="230"/>
      <c r="K307" s="230"/>
    </row>
    <row r="308" spans="1:11" ht="15.75">
      <c r="A308" s="211"/>
      <c r="B308" s="204"/>
      <c r="C308" s="204"/>
      <c r="D308" s="205"/>
      <c r="E308" s="205"/>
      <c r="F308" s="212"/>
      <c r="G308" s="273"/>
      <c r="H308" s="212"/>
      <c r="I308" s="230"/>
      <c r="J308" s="230"/>
      <c r="K308" s="230"/>
    </row>
    <row r="309" spans="1:11" ht="15.75">
      <c r="A309" s="211"/>
      <c r="B309" s="204"/>
      <c r="C309" s="204"/>
      <c r="D309" s="205"/>
      <c r="E309" s="205"/>
      <c r="F309" s="212"/>
      <c r="G309" s="273"/>
      <c r="H309" s="212"/>
      <c r="I309" s="230"/>
      <c r="J309" s="230"/>
      <c r="K309" s="230"/>
    </row>
    <row r="310" spans="1:11" ht="15.75">
      <c r="A310" s="211"/>
      <c r="B310" s="220"/>
      <c r="C310" s="204"/>
      <c r="D310" s="205"/>
      <c r="E310" s="212"/>
      <c r="F310" s="212"/>
      <c r="G310" s="273"/>
      <c r="H310" s="212"/>
      <c r="I310" s="230"/>
      <c r="J310" s="230"/>
      <c r="K310" s="230"/>
    </row>
    <row r="311" spans="1:11" ht="15.75">
      <c r="A311" s="276"/>
      <c r="B311" s="204"/>
      <c r="C311" s="204"/>
      <c r="D311" s="205"/>
      <c r="E311" s="205"/>
      <c r="F311" s="280"/>
      <c r="G311" s="273"/>
      <c r="H311" s="212"/>
      <c r="I311" s="230"/>
      <c r="J311" s="230"/>
      <c r="K311" s="230"/>
    </row>
    <row r="312" spans="1:11" ht="15.75">
      <c r="A312" s="276"/>
      <c r="B312" s="274"/>
      <c r="C312" s="204"/>
      <c r="D312" s="205"/>
      <c r="E312" s="205"/>
      <c r="F312" s="280"/>
      <c r="G312" s="273"/>
      <c r="H312" s="212"/>
      <c r="I312" s="230"/>
      <c r="J312" s="230"/>
      <c r="K312" s="230"/>
    </row>
    <row r="313" spans="1:11" ht="15.75">
      <c r="A313" s="276"/>
      <c r="B313" s="220"/>
      <c r="C313" s="204"/>
      <c r="D313" s="205"/>
      <c r="E313" s="205"/>
      <c r="F313" s="280"/>
      <c r="G313" s="272"/>
      <c r="H313" s="213"/>
      <c r="I313" s="230"/>
      <c r="J313" s="230"/>
      <c r="K313" s="230"/>
    </row>
    <row r="314" spans="1:11" ht="15.75">
      <c r="A314" s="276"/>
      <c r="B314" s="203"/>
      <c r="C314" s="204"/>
      <c r="D314" s="205"/>
      <c r="E314" s="205"/>
      <c r="F314" s="280"/>
      <c r="G314" s="272"/>
      <c r="H314" s="213"/>
      <c r="I314" s="230"/>
      <c r="J314" s="230"/>
      <c r="K314" s="230"/>
    </row>
    <row r="315" spans="1:11" ht="15.75">
      <c r="A315" s="211"/>
      <c r="B315" s="230"/>
      <c r="C315" s="204"/>
      <c r="D315" s="205"/>
      <c r="E315" s="212"/>
      <c r="F315" s="280"/>
      <c r="G315" s="273"/>
      <c r="H315" s="212"/>
      <c r="I315" s="230"/>
      <c r="J315" s="230"/>
      <c r="K315" s="230"/>
    </row>
    <row r="316" spans="1:11" ht="15.75">
      <c r="A316" s="202"/>
      <c r="B316" s="220"/>
      <c r="C316" s="204"/>
      <c r="D316" s="205"/>
      <c r="E316" s="212"/>
      <c r="F316" s="280"/>
      <c r="G316" s="273"/>
      <c r="H316" s="212"/>
      <c r="I316" s="230"/>
      <c r="J316" s="230"/>
      <c r="K316" s="230"/>
    </row>
    <row r="317" spans="1:11" ht="15.75">
      <c r="A317" s="211"/>
      <c r="B317" s="204"/>
      <c r="C317" s="204"/>
      <c r="D317" s="205"/>
      <c r="E317" s="205"/>
      <c r="F317" s="280"/>
      <c r="G317" s="273"/>
      <c r="H317" s="212"/>
      <c r="I317" s="230"/>
      <c r="J317" s="230"/>
      <c r="K317" s="230"/>
    </row>
    <row r="318" spans="1:11" ht="15.75">
      <c r="A318" s="276"/>
      <c r="B318" s="204"/>
      <c r="C318" s="204"/>
      <c r="D318" s="205"/>
      <c r="E318" s="205"/>
      <c r="F318" s="280"/>
      <c r="G318" s="272"/>
      <c r="H318" s="213"/>
      <c r="I318" s="230"/>
      <c r="J318" s="230"/>
      <c r="K318" s="230"/>
    </row>
    <row r="319" spans="1:11" ht="15.75">
      <c r="A319" s="202"/>
      <c r="B319" s="274"/>
      <c r="C319" s="204"/>
      <c r="D319" s="205"/>
      <c r="E319" s="212"/>
      <c r="F319" s="213"/>
      <c r="G319" s="273"/>
      <c r="H319" s="212"/>
      <c r="I319" s="230"/>
      <c r="J319" s="230"/>
      <c r="K319" s="230"/>
    </row>
    <row r="320" spans="1:11" ht="15.75">
      <c r="A320" s="211"/>
      <c r="B320" s="204"/>
      <c r="C320" s="268"/>
      <c r="D320" s="277"/>
      <c r="E320" s="284"/>
      <c r="F320" s="213"/>
      <c r="G320" s="272"/>
      <c r="H320" s="213"/>
      <c r="I320" s="230"/>
      <c r="J320" s="230"/>
      <c r="K320" s="230"/>
    </row>
    <row r="321" spans="1:11" ht="15.75">
      <c r="A321" s="211"/>
      <c r="B321" s="203"/>
      <c r="C321" s="268"/>
      <c r="D321" s="277"/>
      <c r="E321" s="284"/>
      <c r="F321" s="213"/>
      <c r="G321" s="272"/>
      <c r="H321" s="213"/>
      <c r="I321" s="230"/>
      <c r="J321" s="230"/>
      <c r="K321" s="230"/>
    </row>
    <row r="322" spans="1:11" ht="15.75">
      <c r="A322" s="211"/>
      <c r="B322" s="220"/>
      <c r="C322" s="204"/>
      <c r="D322" s="205"/>
      <c r="E322" s="212"/>
      <c r="F322" s="212"/>
      <c r="G322" s="273"/>
      <c r="H322" s="212"/>
      <c r="I322" s="230"/>
      <c r="J322" s="230"/>
      <c r="K322" s="230"/>
    </row>
    <row r="323" spans="1:11" ht="15.75">
      <c r="A323" s="202"/>
      <c r="B323" s="220"/>
      <c r="C323" s="204"/>
      <c r="D323" s="205"/>
      <c r="E323" s="212"/>
      <c r="F323" s="212"/>
      <c r="G323" s="273"/>
      <c r="H323" s="212"/>
      <c r="I323" s="230"/>
      <c r="J323" s="230"/>
      <c r="K323" s="230"/>
    </row>
    <row r="324" spans="1:11" ht="15.75">
      <c r="A324" s="211"/>
      <c r="B324" s="220"/>
      <c r="C324" s="204"/>
      <c r="D324" s="205"/>
      <c r="E324" s="212"/>
      <c r="F324" s="212"/>
      <c r="G324" s="273"/>
      <c r="H324" s="212"/>
      <c r="I324" s="230"/>
      <c r="J324" s="230"/>
      <c r="K324" s="230"/>
    </row>
    <row r="325" spans="1:11" ht="15.75">
      <c r="A325" s="202"/>
      <c r="B325" s="220"/>
      <c r="C325" s="204"/>
      <c r="D325" s="205"/>
      <c r="E325" s="212"/>
      <c r="F325" s="212"/>
      <c r="G325" s="273"/>
      <c r="H325" s="212"/>
      <c r="I325" s="230"/>
      <c r="J325" s="230"/>
      <c r="K325" s="230"/>
    </row>
    <row r="326" spans="1:11" ht="15.75">
      <c r="A326" s="211"/>
      <c r="B326" s="220"/>
      <c r="C326" s="204"/>
      <c r="D326" s="205"/>
      <c r="E326" s="212"/>
      <c r="F326" s="212"/>
      <c r="G326" s="273"/>
      <c r="H326" s="212"/>
      <c r="I326" s="230"/>
      <c r="J326" s="230"/>
      <c r="K326" s="230"/>
    </row>
    <row r="327" spans="1:11" ht="15.75">
      <c r="A327" s="202"/>
      <c r="B327" s="220"/>
      <c r="C327" s="204"/>
      <c r="D327" s="205"/>
      <c r="E327" s="212"/>
      <c r="F327" s="212"/>
      <c r="G327" s="273"/>
      <c r="H327" s="212"/>
      <c r="I327" s="230"/>
      <c r="J327" s="230"/>
      <c r="K327" s="230"/>
    </row>
    <row r="328" spans="1:11" ht="15.75">
      <c r="A328" s="211"/>
      <c r="B328" s="204"/>
      <c r="C328" s="204"/>
      <c r="D328" s="205"/>
      <c r="E328" s="205"/>
      <c r="F328" s="212"/>
      <c r="G328" s="273"/>
      <c r="H328" s="212"/>
      <c r="I328" s="230"/>
      <c r="J328" s="230"/>
      <c r="K328" s="230"/>
    </row>
    <row r="329" spans="1:11" ht="15.75">
      <c r="A329" s="202"/>
      <c r="B329" s="220"/>
      <c r="C329" s="204"/>
      <c r="D329" s="205"/>
      <c r="E329" s="212"/>
      <c r="F329" s="212"/>
      <c r="G329" s="273"/>
      <c r="H329" s="212"/>
      <c r="I329" s="230"/>
      <c r="J329" s="230"/>
      <c r="K329" s="230"/>
    </row>
    <row r="330" spans="1:11" ht="15.75">
      <c r="A330" s="211"/>
      <c r="B330" s="204"/>
      <c r="C330" s="268"/>
      <c r="D330" s="277"/>
      <c r="E330" s="284"/>
      <c r="F330" s="212"/>
      <c r="G330" s="273"/>
      <c r="H330" s="212"/>
      <c r="I330" s="230"/>
      <c r="J330" s="230"/>
      <c r="K330" s="230"/>
    </row>
    <row r="331" spans="1:11" ht="15.75">
      <c r="A331" s="202"/>
      <c r="B331" s="204"/>
      <c r="C331" s="204"/>
      <c r="D331" s="205"/>
      <c r="E331" s="205"/>
      <c r="F331" s="273"/>
      <c r="G331" s="273"/>
      <c r="H331" s="212"/>
      <c r="I331" s="230"/>
      <c r="J331" s="230"/>
      <c r="K331" s="230"/>
    </row>
    <row r="332" spans="1:11" ht="15.75">
      <c r="A332" s="202"/>
      <c r="B332" s="204"/>
      <c r="C332" s="204"/>
      <c r="D332" s="205"/>
      <c r="E332" s="205"/>
      <c r="F332" s="273"/>
      <c r="G332" s="273"/>
      <c r="H332" s="212"/>
      <c r="I332" s="230"/>
      <c r="J332" s="230"/>
      <c r="K332" s="230"/>
    </row>
    <row r="333" spans="1:11" ht="15.75">
      <c r="A333" s="211"/>
      <c r="B333" s="204"/>
      <c r="C333" s="204"/>
      <c r="D333" s="205"/>
      <c r="E333" s="205"/>
      <c r="F333" s="280"/>
      <c r="G333" s="272"/>
      <c r="H333" s="213"/>
      <c r="I333" s="230"/>
      <c r="J333" s="230"/>
      <c r="K333" s="230"/>
    </row>
    <row r="334" spans="1:11" ht="15.75">
      <c r="A334" s="211"/>
      <c r="B334" s="274"/>
      <c r="C334" s="204"/>
      <c r="D334" s="205"/>
      <c r="E334" s="205"/>
      <c r="F334" s="280"/>
      <c r="G334" s="273"/>
      <c r="H334" s="212"/>
      <c r="I334" s="230"/>
      <c r="J334" s="230"/>
      <c r="K334" s="230"/>
    </row>
    <row r="335" spans="1:11" ht="15.75">
      <c r="A335" s="202"/>
      <c r="B335" s="203"/>
      <c r="C335" s="204"/>
      <c r="D335" s="205"/>
      <c r="E335" s="206"/>
      <c r="F335" s="213"/>
      <c r="G335" s="272"/>
      <c r="H335" s="213"/>
      <c r="I335" s="230"/>
      <c r="J335" s="230"/>
      <c r="K335" s="230"/>
    </row>
    <row r="336" spans="1:11" ht="15.75">
      <c r="A336" s="276"/>
      <c r="B336" s="203"/>
      <c r="C336" s="204"/>
      <c r="D336" s="205"/>
      <c r="E336" s="205"/>
      <c r="F336" s="280"/>
      <c r="G336" s="272"/>
      <c r="H336" s="213"/>
      <c r="I336" s="230"/>
      <c r="J336" s="230"/>
      <c r="K336" s="230"/>
    </row>
    <row r="337" spans="1:11" ht="15.75">
      <c r="A337" s="276"/>
      <c r="B337" s="204"/>
      <c r="C337" s="204"/>
      <c r="D337" s="205"/>
      <c r="E337" s="212"/>
      <c r="F337" s="212"/>
      <c r="G337" s="273"/>
      <c r="H337" s="212"/>
      <c r="I337" s="230"/>
      <c r="J337" s="230"/>
      <c r="K337" s="230"/>
    </row>
    <row r="338" spans="1:11" ht="15.75">
      <c r="A338" s="276"/>
      <c r="B338" s="204"/>
      <c r="C338" s="204"/>
      <c r="D338" s="205"/>
      <c r="E338" s="212"/>
      <c r="F338" s="272"/>
      <c r="G338" s="213"/>
      <c r="H338" s="230"/>
      <c r="I338" s="230"/>
      <c r="J338" s="230"/>
      <c r="K338" s="230"/>
    </row>
    <row r="339" spans="1:11" ht="15.75">
      <c r="A339" s="276"/>
      <c r="B339" s="204"/>
      <c r="C339" s="204"/>
      <c r="D339" s="205"/>
      <c r="E339" s="212"/>
      <c r="F339" s="273"/>
      <c r="G339" s="273"/>
      <c r="H339" s="261"/>
      <c r="I339" s="230"/>
      <c r="J339" s="230"/>
      <c r="K339" s="230"/>
    </row>
    <row r="340" spans="1:11" ht="15.75">
      <c r="A340" s="276"/>
      <c r="B340" s="220"/>
      <c r="C340" s="204"/>
      <c r="D340" s="205"/>
      <c r="E340" s="212"/>
      <c r="F340" s="273"/>
      <c r="G340" s="273"/>
      <c r="H340" s="261"/>
      <c r="I340" s="230"/>
      <c r="J340" s="230"/>
      <c r="K340" s="230"/>
    </row>
    <row r="341" spans="1:11" ht="15.75">
      <c r="A341" s="276"/>
      <c r="B341" s="220"/>
      <c r="C341" s="204"/>
      <c r="D341" s="212"/>
      <c r="E341" s="212"/>
      <c r="F341" s="273"/>
      <c r="G341" s="273"/>
      <c r="H341" s="212"/>
      <c r="I341" s="230"/>
      <c r="J341" s="230"/>
      <c r="K341" s="230"/>
    </row>
    <row r="342" spans="1:11" ht="15.75">
      <c r="A342" s="276"/>
      <c r="B342" s="220"/>
      <c r="C342" s="204"/>
      <c r="D342" s="212"/>
      <c r="E342" s="212"/>
      <c r="F342" s="273"/>
      <c r="G342" s="273"/>
      <c r="H342" s="212"/>
      <c r="I342" s="230"/>
      <c r="J342" s="230"/>
      <c r="K342" s="230"/>
    </row>
    <row r="343" spans="1:11" ht="15.75">
      <c r="A343" s="276"/>
      <c r="B343" s="220"/>
      <c r="C343" s="204"/>
      <c r="D343" s="212"/>
      <c r="E343" s="212"/>
      <c r="F343" s="273"/>
      <c r="G343" s="273"/>
      <c r="H343" s="212"/>
      <c r="I343" s="230"/>
      <c r="J343" s="230"/>
      <c r="K343" s="230"/>
    </row>
    <row r="344" spans="1:11" ht="15.75">
      <c r="A344" s="276"/>
      <c r="B344" s="220"/>
      <c r="C344" s="204"/>
      <c r="D344" s="212"/>
      <c r="E344" s="212"/>
      <c r="F344" s="273"/>
      <c r="G344" s="273"/>
      <c r="H344" s="212"/>
      <c r="I344" s="230"/>
      <c r="J344" s="230"/>
      <c r="K344" s="230"/>
    </row>
    <row r="345" spans="1:11" ht="15.75">
      <c r="A345" s="276"/>
      <c r="B345" s="220"/>
      <c r="C345" s="204"/>
      <c r="D345" s="212"/>
      <c r="E345" s="212"/>
      <c r="F345" s="273"/>
      <c r="G345" s="273"/>
      <c r="H345" s="212"/>
      <c r="I345" s="230"/>
      <c r="J345" s="230"/>
      <c r="K345" s="230"/>
    </row>
    <row r="346" spans="1:11" ht="15.75">
      <c r="A346" s="276"/>
      <c r="B346" s="220"/>
      <c r="C346" s="204"/>
      <c r="D346" s="212"/>
      <c r="E346" s="212"/>
      <c r="F346" s="273"/>
      <c r="G346" s="273"/>
      <c r="H346" s="212"/>
      <c r="I346" s="230"/>
      <c r="J346" s="230"/>
      <c r="K346" s="230"/>
    </row>
    <row r="347" spans="1:11" ht="15.75">
      <c r="A347" s="276"/>
      <c r="B347" s="204"/>
      <c r="C347" s="204"/>
      <c r="D347" s="205"/>
      <c r="E347" s="212"/>
      <c r="F347" s="273"/>
      <c r="G347" s="212"/>
      <c r="H347" s="261"/>
      <c r="I347" s="230"/>
      <c r="J347" s="230"/>
      <c r="K347" s="230"/>
    </row>
    <row r="348" spans="1:11" ht="15.75">
      <c r="A348" s="276"/>
      <c r="B348" s="220"/>
      <c r="C348" s="204"/>
      <c r="D348" s="212"/>
      <c r="E348" s="212"/>
      <c r="F348" s="273"/>
      <c r="G348" s="212"/>
      <c r="H348" s="261"/>
      <c r="I348" s="230"/>
      <c r="J348" s="230"/>
      <c r="K348" s="230"/>
    </row>
    <row r="349" spans="1:11" ht="15.75">
      <c r="A349" s="276"/>
      <c r="B349" s="204"/>
      <c r="C349" s="268"/>
      <c r="D349" s="284"/>
      <c r="E349" s="212"/>
      <c r="F349" s="273"/>
      <c r="G349" s="212"/>
      <c r="H349" s="212"/>
      <c r="I349" s="230"/>
      <c r="J349" s="230"/>
      <c r="K349" s="230"/>
    </row>
    <row r="350" spans="1:11" ht="15.75">
      <c r="A350" s="276"/>
      <c r="B350" s="220"/>
      <c r="C350" s="204"/>
      <c r="D350" s="205"/>
      <c r="E350" s="212"/>
      <c r="F350" s="273"/>
      <c r="G350" s="212"/>
      <c r="H350" s="212"/>
      <c r="I350" s="230"/>
      <c r="J350" s="230"/>
      <c r="K350" s="230"/>
    </row>
    <row r="351" spans="1:11" ht="15.75">
      <c r="A351" s="276"/>
      <c r="B351" s="220"/>
      <c r="C351" s="204"/>
      <c r="D351" s="205"/>
      <c r="E351" s="212"/>
      <c r="F351" s="212"/>
      <c r="G351" s="273"/>
      <c r="H351" s="212"/>
      <c r="I351" s="230"/>
      <c r="J351" s="230"/>
      <c r="K351" s="230"/>
    </row>
    <row r="352" spans="1:10" ht="15.75">
      <c r="A352" s="276"/>
      <c r="B352" s="220"/>
      <c r="C352" s="204"/>
      <c r="D352" s="205"/>
      <c r="E352" s="212"/>
      <c r="F352" s="212"/>
      <c r="G352" s="273"/>
      <c r="H352" s="212"/>
      <c r="I352" s="230"/>
      <c r="J352" s="230"/>
    </row>
    <row r="353" spans="1:10" ht="15.75">
      <c r="A353" s="276"/>
      <c r="B353" s="220"/>
      <c r="C353" s="204"/>
      <c r="D353" s="205"/>
      <c r="E353" s="212"/>
      <c r="F353" s="212"/>
      <c r="G353" s="273"/>
      <c r="H353" s="212"/>
      <c r="I353" s="230"/>
      <c r="J353" s="230"/>
    </row>
    <row r="354" spans="1:10" ht="15.75">
      <c r="A354" s="276"/>
      <c r="B354" s="220"/>
      <c r="C354" s="204"/>
      <c r="D354" s="205"/>
      <c r="E354" s="212"/>
      <c r="F354" s="212"/>
      <c r="G354" s="273"/>
      <c r="H354" s="212"/>
      <c r="I354" s="230"/>
      <c r="J354" s="230"/>
    </row>
    <row r="355" spans="1:10" ht="15.75">
      <c r="A355" s="276"/>
      <c r="B355" s="204"/>
      <c r="C355" s="204"/>
      <c r="D355" s="205"/>
      <c r="E355" s="205"/>
      <c r="F355" s="212"/>
      <c r="G355" s="273"/>
      <c r="H355" s="212"/>
      <c r="I355" s="230"/>
      <c r="J355" s="230"/>
    </row>
    <row r="356" spans="1:10" ht="15.75">
      <c r="A356" s="276"/>
      <c r="B356" s="204"/>
      <c r="C356" s="204"/>
      <c r="D356" s="205"/>
      <c r="E356" s="205"/>
      <c r="F356" s="212"/>
      <c r="G356" s="273"/>
      <c r="H356" s="212"/>
      <c r="I356" s="230"/>
      <c r="J356" s="230"/>
    </row>
    <row r="357" spans="1:10" ht="15.75">
      <c r="A357" s="276"/>
      <c r="B357" s="204"/>
      <c r="C357" s="204"/>
      <c r="D357" s="205"/>
      <c r="E357" s="205"/>
      <c r="F357" s="212"/>
      <c r="G357" s="273"/>
      <c r="H357" s="212"/>
      <c r="I357" s="230"/>
      <c r="J357" s="230"/>
    </row>
    <row r="358" spans="1:10" ht="15.75">
      <c r="A358" s="276"/>
      <c r="B358" s="204"/>
      <c r="C358" s="204"/>
      <c r="D358" s="205"/>
      <c r="E358" s="205"/>
      <c r="F358" s="212"/>
      <c r="G358" s="273"/>
      <c r="H358" s="212"/>
      <c r="I358" s="230"/>
      <c r="J358" s="230"/>
    </row>
    <row r="359" spans="1:10" ht="15.75">
      <c r="A359" s="276"/>
      <c r="B359" s="204"/>
      <c r="C359" s="204"/>
      <c r="D359" s="205"/>
      <c r="E359" s="205"/>
      <c r="F359" s="212"/>
      <c r="G359" s="273"/>
      <c r="H359" s="213"/>
      <c r="I359" s="230"/>
      <c r="J359" s="230"/>
    </row>
    <row r="360" spans="1:10" ht="15.75">
      <c r="A360" s="276"/>
      <c r="B360" s="204"/>
      <c r="C360" s="204"/>
      <c r="D360" s="205"/>
      <c r="E360" s="205"/>
      <c r="F360" s="280"/>
      <c r="G360" s="272"/>
      <c r="H360" s="213"/>
      <c r="I360" s="230"/>
      <c r="J360" s="230"/>
    </row>
    <row r="361" spans="1:10" ht="15.75">
      <c r="A361" s="276"/>
      <c r="B361" s="274"/>
      <c r="C361" s="204"/>
      <c r="D361" s="205"/>
      <c r="E361" s="205"/>
      <c r="F361" s="280"/>
      <c r="G361" s="273"/>
      <c r="H361" s="212"/>
      <c r="I361" s="230"/>
      <c r="J361" s="230"/>
    </row>
    <row r="362" spans="1:10" ht="15.75">
      <c r="A362" s="276"/>
      <c r="B362" s="274"/>
      <c r="C362" s="204"/>
      <c r="D362" s="205"/>
      <c r="E362" s="205"/>
      <c r="F362" s="280"/>
      <c r="G362" s="273"/>
      <c r="H362" s="212"/>
      <c r="I362" s="230"/>
      <c r="J362" s="230"/>
    </row>
    <row r="363" spans="1:10" ht="15.75">
      <c r="A363" s="276"/>
      <c r="B363" s="203"/>
      <c r="C363" s="204"/>
      <c r="D363" s="205"/>
      <c r="E363" s="205"/>
      <c r="F363" s="280"/>
      <c r="G363" s="273"/>
      <c r="H363" s="212"/>
      <c r="I363" s="230"/>
      <c r="J363" s="230"/>
    </row>
    <row r="364" spans="1:10" ht="15.75">
      <c r="A364" s="211"/>
      <c r="B364" s="230"/>
      <c r="C364" s="204"/>
      <c r="D364" s="205"/>
      <c r="E364" s="205"/>
      <c r="F364" s="212"/>
      <c r="G364" s="273"/>
      <c r="H364" s="212"/>
      <c r="I364" s="230"/>
      <c r="J364" s="230"/>
    </row>
    <row r="365" spans="1:10" ht="15.75">
      <c r="A365" s="202"/>
      <c r="B365" s="204"/>
      <c r="C365" s="204"/>
      <c r="D365" s="205"/>
      <c r="E365" s="205"/>
      <c r="F365" s="212"/>
      <c r="G365" s="273"/>
      <c r="H365" s="212"/>
      <c r="I365" s="230"/>
      <c r="J365" s="230"/>
    </row>
    <row r="366" spans="1:10" ht="15.75">
      <c r="A366" s="211"/>
      <c r="B366" s="220"/>
      <c r="C366" s="204"/>
      <c r="D366" s="205"/>
      <c r="E366" s="212"/>
      <c r="F366" s="212"/>
      <c r="G366" s="273"/>
      <c r="H366" s="212"/>
      <c r="I366" s="230"/>
      <c r="J366" s="230"/>
    </row>
    <row r="367" spans="1:10" ht="15.75">
      <c r="A367" s="202"/>
      <c r="B367" s="204"/>
      <c r="C367" s="204"/>
      <c r="D367" s="205"/>
      <c r="E367" s="205"/>
      <c r="F367" s="212"/>
      <c r="G367" s="273"/>
      <c r="H367" s="261"/>
      <c r="I367" s="230"/>
      <c r="J367" s="230"/>
    </row>
    <row r="368" spans="1:10" ht="15.75">
      <c r="A368" s="211"/>
      <c r="B368" s="204"/>
      <c r="C368" s="268"/>
      <c r="D368" s="277"/>
      <c r="E368" s="284"/>
      <c r="F368" s="280"/>
      <c r="G368" s="273"/>
      <c r="H368" s="212"/>
      <c r="I368" s="230"/>
      <c r="J368" s="230"/>
    </row>
    <row r="369" spans="1:10" ht="15.75">
      <c r="A369" s="276"/>
      <c r="B369" s="274"/>
      <c r="C369" s="204"/>
      <c r="D369" s="205"/>
      <c r="E369" s="205"/>
      <c r="F369" s="280"/>
      <c r="G369" s="273"/>
      <c r="H369" s="212"/>
      <c r="I369" s="230"/>
      <c r="J369" s="230"/>
    </row>
    <row r="370" spans="1:10" ht="15.75">
      <c r="A370" s="276"/>
      <c r="B370" s="274"/>
      <c r="C370" s="204"/>
      <c r="D370" s="205"/>
      <c r="E370" s="205"/>
      <c r="F370" s="280"/>
      <c r="G370" s="273"/>
      <c r="H370" s="212"/>
      <c r="I370" s="230"/>
      <c r="J370" s="230"/>
    </row>
    <row r="371" spans="1:10" ht="15.75">
      <c r="A371" s="202"/>
      <c r="B371" s="203"/>
      <c r="C371" s="204"/>
      <c r="D371" s="205"/>
      <c r="E371" s="206"/>
      <c r="F371" s="280"/>
      <c r="G371" s="273"/>
      <c r="H371" s="212"/>
      <c r="I371" s="230"/>
      <c r="J371" s="230"/>
    </row>
    <row r="372" spans="1:10" ht="15.75">
      <c r="A372" s="211"/>
      <c r="B372" s="220"/>
      <c r="C372" s="204"/>
      <c r="D372" s="205"/>
      <c r="E372" s="212"/>
      <c r="F372" s="212"/>
      <c r="G372" s="273"/>
      <c r="H372" s="212"/>
      <c r="I372" s="230"/>
      <c r="J372" s="230"/>
    </row>
    <row r="373" spans="1:10" ht="15.75">
      <c r="A373" s="202"/>
      <c r="B373" s="220"/>
      <c r="C373" s="204"/>
      <c r="D373" s="205"/>
      <c r="E373" s="212"/>
      <c r="F373" s="212"/>
      <c r="G373" s="273"/>
      <c r="H373" s="212"/>
      <c r="I373" s="230"/>
      <c r="J373" s="230"/>
    </row>
    <row r="374" spans="1:10" ht="15.75">
      <c r="A374" s="211"/>
      <c r="B374" s="220"/>
      <c r="C374" s="204"/>
      <c r="D374" s="205"/>
      <c r="E374" s="212"/>
      <c r="F374" s="212"/>
      <c r="G374" s="273"/>
      <c r="H374" s="212"/>
      <c r="I374" s="230"/>
      <c r="J374" s="230"/>
    </row>
    <row r="375" spans="1:10" ht="15.75">
      <c r="A375" s="202"/>
      <c r="B375" s="220"/>
      <c r="C375" s="204"/>
      <c r="D375" s="205"/>
      <c r="E375" s="212"/>
      <c r="F375" s="212"/>
      <c r="G375" s="273"/>
      <c r="H375" s="212"/>
      <c r="I375" s="230"/>
      <c r="J375" s="230"/>
    </row>
    <row r="376" spans="1:10" ht="15.75">
      <c r="A376" s="211"/>
      <c r="B376" s="220"/>
      <c r="C376" s="204"/>
      <c r="D376" s="205"/>
      <c r="E376" s="212"/>
      <c r="F376" s="212"/>
      <c r="G376" s="273"/>
      <c r="H376" s="212"/>
      <c r="I376" s="230"/>
      <c r="J376" s="230"/>
    </row>
    <row r="377" spans="1:10" ht="15.75">
      <c r="A377" s="202"/>
      <c r="B377" s="220"/>
      <c r="C377" s="204"/>
      <c r="D377" s="205"/>
      <c r="E377" s="212"/>
      <c r="F377" s="212"/>
      <c r="G377" s="273"/>
      <c r="H377" s="212"/>
      <c r="I377" s="230"/>
      <c r="J377" s="230"/>
    </row>
    <row r="378" spans="1:10" ht="15.75">
      <c r="A378" s="211"/>
      <c r="B378" s="220"/>
      <c r="C378" s="204"/>
      <c r="D378" s="205"/>
      <c r="E378" s="212"/>
      <c r="F378" s="212"/>
      <c r="G378" s="273"/>
      <c r="H378" s="212"/>
      <c r="I378" s="230"/>
      <c r="J378" s="230"/>
    </row>
    <row r="379" spans="1:10" ht="15.75">
      <c r="A379" s="202"/>
      <c r="B379" s="220"/>
      <c r="C379" s="204"/>
      <c r="D379" s="205"/>
      <c r="E379" s="212"/>
      <c r="F379" s="212"/>
      <c r="G379" s="273"/>
      <c r="H379" s="212"/>
      <c r="I379" s="230"/>
      <c r="J379" s="230"/>
    </row>
    <row r="380" spans="1:10" ht="15.75">
      <c r="A380" s="211"/>
      <c r="B380" s="220"/>
      <c r="C380" s="204"/>
      <c r="D380" s="205"/>
      <c r="E380" s="212"/>
      <c r="F380" s="212"/>
      <c r="G380" s="273"/>
      <c r="H380" s="212"/>
      <c r="I380" s="230"/>
      <c r="J380" s="230"/>
    </row>
    <row r="381" spans="1:10" ht="15.75">
      <c r="A381" s="202"/>
      <c r="B381" s="220"/>
      <c r="C381" s="204"/>
      <c r="D381" s="205"/>
      <c r="E381" s="212"/>
      <c r="F381" s="212"/>
      <c r="G381" s="273"/>
      <c r="H381" s="212"/>
      <c r="I381" s="230"/>
      <c r="J381" s="230"/>
    </row>
    <row r="382" spans="1:10" ht="15.75">
      <c r="A382" s="211"/>
      <c r="B382" s="220"/>
      <c r="C382" s="204"/>
      <c r="D382" s="205"/>
      <c r="E382" s="212"/>
      <c r="F382" s="212"/>
      <c r="G382" s="273"/>
      <c r="H382" s="212"/>
      <c r="I382" s="230"/>
      <c r="J382" s="230"/>
    </row>
    <row r="383" spans="1:10" ht="15.75">
      <c r="A383" s="202"/>
      <c r="B383" s="220"/>
      <c r="C383" s="204"/>
      <c r="D383" s="205"/>
      <c r="E383" s="212"/>
      <c r="F383" s="212"/>
      <c r="G383" s="273"/>
      <c r="H383" s="212"/>
      <c r="I383" s="230"/>
      <c r="J383" s="230"/>
    </row>
    <row r="384" spans="1:10" ht="15.75">
      <c r="A384" s="211"/>
      <c r="B384" s="204"/>
      <c r="C384" s="204"/>
      <c r="D384" s="205"/>
      <c r="E384" s="205"/>
      <c r="F384" s="212"/>
      <c r="G384" s="273"/>
      <c r="H384" s="212"/>
      <c r="I384" s="230"/>
      <c r="J384" s="230"/>
    </row>
    <row r="385" spans="1:10" ht="15.75">
      <c r="A385" s="202"/>
      <c r="B385" s="204"/>
      <c r="C385" s="204"/>
      <c r="D385" s="205"/>
      <c r="E385" s="205"/>
      <c r="F385" s="212"/>
      <c r="G385" s="273"/>
      <c r="H385" s="212"/>
      <c r="I385" s="230"/>
      <c r="J385" s="230"/>
    </row>
    <row r="386" spans="1:10" ht="15.75">
      <c r="A386" s="211"/>
      <c r="B386" s="204"/>
      <c r="C386" s="204"/>
      <c r="D386" s="205"/>
      <c r="E386" s="205"/>
      <c r="F386" s="212"/>
      <c r="G386" s="273"/>
      <c r="H386" s="212"/>
      <c r="I386" s="230"/>
      <c r="J386" s="230"/>
    </row>
    <row r="387" spans="1:10" ht="15.75">
      <c r="A387" s="202"/>
      <c r="B387" s="220"/>
      <c r="C387" s="204"/>
      <c r="D387" s="205"/>
      <c r="E387" s="212"/>
      <c r="F387" s="212"/>
      <c r="G387" s="273"/>
      <c r="H387" s="212"/>
      <c r="I387" s="230"/>
      <c r="J387" s="230"/>
    </row>
    <row r="388" spans="1:10" ht="15.75">
      <c r="A388" s="211"/>
      <c r="B388" s="204"/>
      <c r="C388" s="268"/>
      <c r="D388" s="277"/>
      <c r="E388" s="284"/>
      <c r="F388" s="212"/>
      <c r="G388" s="273"/>
      <c r="H388" s="212"/>
      <c r="I388" s="230"/>
      <c r="J388" s="230"/>
    </row>
    <row r="389" spans="1:10" ht="15.75">
      <c r="A389" s="202"/>
      <c r="B389" s="204"/>
      <c r="C389" s="204"/>
      <c r="D389" s="205"/>
      <c r="E389" s="205"/>
      <c r="F389" s="212"/>
      <c r="G389" s="273"/>
      <c r="H389" s="212"/>
      <c r="I389" s="230"/>
      <c r="J389" s="230"/>
    </row>
    <row r="390" spans="1:10" ht="15.75">
      <c r="A390" s="202"/>
      <c r="B390" s="204"/>
      <c r="C390" s="268"/>
      <c r="D390" s="277"/>
      <c r="E390" s="284"/>
      <c r="F390" s="212"/>
      <c r="G390" s="273"/>
      <c r="H390" s="212"/>
      <c r="I390" s="230"/>
      <c r="J390" s="230"/>
    </row>
    <row r="391" spans="1:10" ht="15.75">
      <c r="A391" s="211"/>
      <c r="B391" s="204"/>
      <c r="C391" s="268"/>
      <c r="D391" s="277"/>
      <c r="E391" s="284"/>
      <c r="F391" s="212"/>
      <c r="G391" s="273"/>
      <c r="H391" s="212"/>
      <c r="I391" s="230"/>
      <c r="J391" s="230"/>
    </row>
    <row r="392" spans="1:10" ht="15.75">
      <c r="A392" s="202"/>
      <c r="B392" s="204"/>
      <c r="C392" s="268"/>
      <c r="D392" s="277"/>
      <c r="E392" s="284"/>
      <c r="F392" s="212"/>
      <c r="G392" s="273"/>
      <c r="H392" s="212"/>
      <c r="I392" s="230"/>
      <c r="J392" s="230"/>
    </row>
    <row r="393" spans="1:10" ht="15.75">
      <c r="A393" s="211"/>
      <c r="B393" s="204"/>
      <c r="C393" s="204"/>
      <c r="D393" s="277"/>
      <c r="E393" s="284"/>
      <c r="F393" s="212"/>
      <c r="G393" s="273"/>
      <c r="H393" s="212"/>
      <c r="I393" s="230"/>
      <c r="J393" s="230"/>
    </row>
    <row r="394" spans="1:10" ht="15.75">
      <c r="A394" s="202"/>
      <c r="B394" s="274"/>
      <c r="C394" s="268"/>
      <c r="D394" s="277"/>
      <c r="E394" s="284"/>
      <c r="F394" s="280"/>
      <c r="G394" s="273"/>
      <c r="H394" s="212"/>
      <c r="I394" s="230"/>
      <c r="J394" s="230"/>
    </row>
    <row r="395" spans="1:10" ht="15.75">
      <c r="A395" s="276"/>
      <c r="B395" s="204"/>
      <c r="C395" s="204"/>
      <c r="D395" s="205"/>
      <c r="E395" s="205"/>
      <c r="F395" s="280"/>
      <c r="G395" s="272"/>
      <c r="H395" s="213"/>
      <c r="I395" s="230"/>
      <c r="J395" s="230"/>
    </row>
    <row r="396" spans="1:10" ht="15.75">
      <c r="A396" s="202"/>
      <c r="B396" s="203"/>
      <c r="C396" s="204"/>
      <c r="D396" s="205"/>
      <c r="E396" s="206"/>
      <c r="F396" s="280"/>
      <c r="G396" s="272"/>
      <c r="H396" s="213"/>
      <c r="I396" s="230"/>
      <c r="J396" s="230"/>
    </row>
    <row r="397" spans="1:10" ht="15.75">
      <c r="A397" s="211"/>
      <c r="B397" s="220"/>
      <c r="C397" s="204"/>
      <c r="D397" s="205"/>
      <c r="E397" s="212"/>
      <c r="F397" s="212"/>
      <c r="G397" s="273"/>
      <c r="H397" s="212"/>
      <c r="I397" s="230"/>
      <c r="J397" s="230"/>
    </row>
    <row r="398" spans="1:10" ht="15.75">
      <c r="A398" s="202"/>
      <c r="B398" s="220"/>
      <c r="C398" s="204"/>
      <c r="D398" s="205"/>
      <c r="E398" s="212"/>
      <c r="F398" s="212"/>
      <c r="G398" s="273"/>
      <c r="H398" s="212"/>
      <c r="I398" s="230"/>
      <c r="J398" s="230"/>
    </row>
    <row r="399" spans="1:10" ht="15.75">
      <c r="A399" s="211"/>
      <c r="B399" s="220"/>
      <c r="C399" s="204"/>
      <c r="D399" s="205"/>
      <c r="E399" s="212"/>
      <c r="F399" s="212"/>
      <c r="G399" s="273"/>
      <c r="H399" s="212"/>
      <c r="I399" s="230"/>
      <c r="J399" s="230"/>
    </row>
    <row r="400" spans="1:10" ht="15.75">
      <c r="A400" s="202"/>
      <c r="B400" s="220"/>
      <c r="C400" s="204"/>
      <c r="D400" s="205"/>
      <c r="E400" s="212"/>
      <c r="F400" s="212"/>
      <c r="G400" s="273"/>
      <c r="H400" s="212"/>
      <c r="I400" s="230"/>
      <c r="J400" s="230"/>
    </row>
    <row r="401" spans="1:10" ht="15.75">
      <c r="A401" s="211"/>
      <c r="B401" s="220"/>
      <c r="C401" s="204"/>
      <c r="D401" s="205"/>
      <c r="E401" s="212"/>
      <c r="F401" s="212"/>
      <c r="G401" s="273"/>
      <c r="H401" s="212"/>
      <c r="I401" s="230"/>
      <c r="J401" s="230"/>
    </row>
    <row r="402" spans="1:10" ht="15.75">
      <c r="A402" s="202"/>
      <c r="B402" s="220"/>
      <c r="C402" s="204"/>
      <c r="D402" s="205"/>
      <c r="E402" s="212"/>
      <c r="F402" s="212"/>
      <c r="G402" s="273"/>
      <c r="H402" s="212"/>
      <c r="I402" s="230"/>
      <c r="J402" s="230"/>
    </row>
    <row r="403" spans="1:10" ht="15.75">
      <c r="A403" s="211"/>
      <c r="B403" s="220"/>
      <c r="C403" s="204"/>
      <c r="D403" s="205"/>
      <c r="E403" s="212"/>
      <c r="F403" s="212"/>
      <c r="G403" s="273"/>
      <c r="H403" s="212"/>
      <c r="I403" s="230"/>
      <c r="J403" s="230"/>
    </row>
    <row r="404" spans="1:10" ht="15.75">
      <c r="A404" s="202"/>
      <c r="B404" s="220"/>
      <c r="C404" s="204"/>
      <c r="D404" s="205"/>
      <c r="E404" s="212"/>
      <c r="F404" s="212"/>
      <c r="G404" s="273"/>
      <c r="H404" s="212"/>
      <c r="I404" s="230"/>
      <c r="J404" s="230"/>
    </row>
    <row r="405" spans="1:10" ht="15.75">
      <c r="A405" s="211"/>
      <c r="B405" s="220"/>
      <c r="C405" s="204"/>
      <c r="D405" s="205"/>
      <c r="E405" s="212"/>
      <c r="F405" s="212"/>
      <c r="G405" s="273"/>
      <c r="H405" s="212"/>
      <c r="I405" s="230"/>
      <c r="J405" s="230"/>
    </row>
    <row r="406" spans="1:10" ht="15.75">
      <c r="A406" s="202"/>
      <c r="B406" s="204"/>
      <c r="C406" s="204"/>
      <c r="D406" s="205"/>
      <c r="E406" s="205"/>
      <c r="F406" s="212"/>
      <c r="G406" s="273"/>
      <c r="H406" s="212"/>
      <c r="I406" s="230"/>
      <c r="J406" s="230"/>
    </row>
    <row r="407" spans="1:10" ht="15.75">
      <c r="A407" s="211"/>
      <c r="B407" s="204"/>
      <c r="C407" s="204"/>
      <c r="D407" s="205"/>
      <c r="E407" s="205"/>
      <c r="F407" s="212"/>
      <c r="G407" s="273"/>
      <c r="H407" s="212"/>
      <c r="I407" s="230"/>
      <c r="J407" s="230"/>
    </row>
    <row r="408" spans="1:10" ht="15.75">
      <c r="A408" s="202"/>
      <c r="B408" s="204"/>
      <c r="C408" s="204"/>
      <c r="D408" s="205"/>
      <c r="E408" s="205"/>
      <c r="F408" s="212"/>
      <c r="G408" s="273"/>
      <c r="H408" s="212"/>
      <c r="I408" s="230"/>
      <c r="J408" s="230"/>
    </row>
    <row r="409" spans="1:10" ht="15.75">
      <c r="A409" s="211"/>
      <c r="B409" s="220"/>
      <c r="C409" s="204"/>
      <c r="D409" s="205"/>
      <c r="E409" s="212"/>
      <c r="F409" s="212"/>
      <c r="G409" s="273"/>
      <c r="H409" s="212"/>
      <c r="I409" s="230"/>
      <c r="J409" s="230"/>
    </row>
    <row r="410" spans="1:10" ht="15.75">
      <c r="A410" s="202"/>
      <c r="B410" s="204"/>
      <c r="C410" s="268"/>
      <c r="D410" s="205"/>
      <c r="E410" s="284"/>
      <c r="F410" s="212"/>
      <c r="G410" s="273"/>
      <c r="H410" s="212"/>
      <c r="I410" s="230"/>
      <c r="J410" s="230"/>
    </row>
    <row r="411" spans="1:10" ht="15.75">
      <c r="A411" s="211"/>
      <c r="B411" s="204"/>
      <c r="C411" s="204"/>
      <c r="D411" s="205"/>
      <c r="E411" s="205"/>
      <c r="F411" s="212"/>
      <c r="G411" s="273"/>
      <c r="H411" s="212"/>
      <c r="I411" s="230"/>
      <c r="J411" s="230"/>
    </row>
    <row r="412" spans="1:10" ht="15.75">
      <c r="A412" s="202"/>
      <c r="B412" s="204"/>
      <c r="C412" s="268"/>
      <c r="D412" s="277"/>
      <c r="E412" s="284"/>
      <c r="F412" s="212"/>
      <c r="G412" s="273"/>
      <c r="H412" s="212"/>
      <c r="I412" s="230"/>
      <c r="J412" s="230"/>
    </row>
    <row r="413" spans="1:10" ht="15.75">
      <c r="A413" s="211"/>
      <c r="B413" s="204"/>
      <c r="C413" s="268"/>
      <c r="D413" s="277"/>
      <c r="E413" s="284"/>
      <c r="F413" s="212"/>
      <c r="G413" s="273"/>
      <c r="H413" s="212"/>
      <c r="I413" s="230"/>
      <c r="J413" s="230"/>
    </row>
    <row r="414" spans="1:10" ht="15.75">
      <c r="A414" s="202"/>
      <c r="B414" s="204"/>
      <c r="C414" s="268"/>
      <c r="D414" s="277"/>
      <c r="E414" s="284"/>
      <c r="F414" s="212"/>
      <c r="G414" s="273"/>
      <c r="H414" s="212"/>
      <c r="I414" s="230"/>
      <c r="J414" s="230"/>
    </row>
    <row r="415" spans="1:10" ht="15.75">
      <c r="A415" s="202"/>
      <c r="B415" s="204"/>
      <c r="C415" s="204"/>
      <c r="D415" s="277"/>
      <c r="E415" s="284"/>
      <c r="F415" s="213"/>
      <c r="G415" s="272"/>
      <c r="H415" s="213"/>
      <c r="I415" s="230"/>
      <c r="J415" s="230"/>
    </row>
    <row r="416" spans="1:10" ht="15.75">
      <c r="A416" s="211"/>
      <c r="B416" s="274"/>
      <c r="C416" s="268"/>
      <c r="D416" s="277"/>
      <c r="E416" s="284"/>
      <c r="F416" s="213"/>
      <c r="G416" s="273"/>
      <c r="H416" s="212"/>
      <c r="I416" s="230"/>
      <c r="J416" s="230"/>
    </row>
    <row r="417" spans="1:10" ht="15.75">
      <c r="A417" s="202"/>
      <c r="B417" s="268"/>
      <c r="C417" s="268"/>
      <c r="D417" s="277"/>
      <c r="E417" s="284"/>
      <c r="F417" s="213"/>
      <c r="G417" s="272"/>
      <c r="H417" s="213"/>
      <c r="I417" s="230"/>
      <c r="J417" s="230"/>
    </row>
    <row r="418" spans="1:10" ht="15.75">
      <c r="A418" s="211"/>
      <c r="B418" s="203"/>
      <c r="C418" s="268"/>
      <c r="D418" s="277"/>
      <c r="E418" s="284"/>
      <c r="F418" s="213"/>
      <c r="G418" s="272"/>
      <c r="H418" s="213"/>
      <c r="I418" s="230"/>
      <c r="J418" s="230"/>
    </row>
    <row r="419" spans="1:10" ht="15.75">
      <c r="A419" s="211"/>
      <c r="B419" s="220"/>
      <c r="C419" s="204"/>
      <c r="D419" s="205"/>
      <c r="E419" s="212"/>
      <c r="F419" s="212"/>
      <c r="G419" s="273"/>
      <c r="H419" s="212"/>
      <c r="I419" s="230"/>
      <c r="J419" s="230"/>
    </row>
    <row r="420" spans="1:10" ht="15.75">
      <c r="A420" s="202"/>
      <c r="B420" s="204"/>
      <c r="C420" s="204"/>
      <c r="D420" s="205"/>
      <c r="E420" s="205"/>
      <c r="F420" s="212"/>
      <c r="G420" s="273"/>
      <c r="H420" s="212"/>
      <c r="I420" s="230"/>
      <c r="J420" s="230"/>
    </row>
    <row r="421" spans="1:10" ht="15.75">
      <c r="A421" s="211"/>
      <c r="B421" s="204"/>
      <c r="C421" s="205"/>
      <c r="D421" s="205"/>
      <c r="E421" s="205"/>
      <c r="F421" s="212"/>
      <c r="G421" s="273"/>
      <c r="H421" s="212"/>
      <c r="I421" s="230"/>
      <c r="J421" s="230"/>
    </row>
    <row r="422" spans="1:10" ht="15.75">
      <c r="A422" s="202"/>
      <c r="B422" s="220"/>
      <c r="C422" s="204"/>
      <c r="D422" s="205"/>
      <c r="E422" s="212"/>
      <c r="F422" s="212"/>
      <c r="G422" s="273"/>
      <c r="H422" s="212"/>
      <c r="I422" s="230"/>
      <c r="J422" s="230"/>
    </row>
    <row r="423" spans="1:10" ht="15.75">
      <c r="A423" s="211"/>
      <c r="B423" s="220"/>
      <c r="C423" s="204"/>
      <c r="D423" s="205"/>
      <c r="E423" s="212"/>
      <c r="F423" s="212"/>
      <c r="G423" s="273"/>
      <c r="H423" s="212"/>
      <c r="I423" s="230"/>
      <c r="J423" s="230"/>
    </row>
    <row r="424" spans="1:10" ht="15.75">
      <c r="A424" s="202"/>
      <c r="B424" s="220"/>
      <c r="C424" s="204"/>
      <c r="D424" s="205"/>
      <c r="E424" s="212"/>
      <c r="F424" s="212"/>
      <c r="G424" s="273"/>
      <c r="H424" s="212"/>
      <c r="I424" s="230"/>
      <c r="J424" s="230"/>
    </row>
    <row r="425" spans="1:10" ht="15.75">
      <c r="A425" s="211"/>
      <c r="B425" s="220"/>
      <c r="C425" s="204"/>
      <c r="D425" s="205"/>
      <c r="E425" s="212"/>
      <c r="F425" s="212"/>
      <c r="G425" s="273"/>
      <c r="H425" s="212"/>
      <c r="I425" s="230"/>
      <c r="J425" s="230"/>
    </row>
    <row r="426" spans="1:10" ht="15.75">
      <c r="A426" s="202"/>
      <c r="B426" s="220"/>
      <c r="C426" s="204"/>
      <c r="D426" s="205"/>
      <c r="E426" s="212"/>
      <c r="F426" s="212"/>
      <c r="G426" s="273"/>
      <c r="H426" s="212"/>
      <c r="I426" s="230"/>
      <c r="J426" s="230"/>
    </row>
    <row r="427" spans="1:10" ht="15.75">
      <c r="A427" s="211"/>
      <c r="B427" s="220"/>
      <c r="C427" s="204"/>
      <c r="D427" s="205"/>
      <c r="E427" s="212"/>
      <c r="F427" s="212"/>
      <c r="G427" s="273"/>
      <c r="H427" s="212"/>
      <c r="I427" s="230"/>
      <c r="J427" s="230"/>
    </row>
    <row r="428" spans="1:10" ht="15.75">
      <c r="A428" s="202"/>
      <c r="B428" s="204"/>
      <c r="C428" s="204"/>
      <c r="D428" s="205"/>
      <c r="E428" s="205"/>
      <c r="F428" s="212"/>
      <c r="G428" s="273"/>
      <c r="H428" s="212"/>
      <c r="I428" s="230"/>
      <c r="J428" s="230"/>
    </row>
    <row r="429" spans="1:10" ht="15.75">
      <c r="A429" s="211"/>
      <c r="B429" s="204"/>
      <c r="C429" s="204"/>
      <c r="D429" s="205"/>
      <c r="E429" s="205"/>
      <c r="F429" s="212"/>
      <c r="G429" s="273"/>
      <c r="H429" s="212"/>
      <c r="I429" s="230"/>
      <c r="J429" s="230"/>
    </row>
    <row r="430" spans="1:10" ht="15.75">
      <c r="A430" s="202"/>
      <c r="B430" s="220"/>
      <c r="C430" s="204"/>
      <c r="D430" s="205"/>
      <c r="E430" s="212"/>
      <c r="F430" s="212"/>
      <c r="G430" s="273"/>
      <c r="H430" s="212"/>
      <c r="I430" s="230"/>
      <c r="J430" s="230"/>
    </row>
    <row r="431" spans="1:10" ht="15.75">
      <c r="A431" s="211"/>
      <c r="B431" s="204"/>
      <c r="C431" s="268"/>
      <c r="D431" s="277"/>
      <c r="E431" s="284"/>
      <c r="F431" s="212"/>
      <c r="G431" s="273"/>
      <c r="H431" s="212"/>
      <c r="I431" s="230"/>
      <c r="J431" s="230"/>
    </row>
    <row r="432" spans="1:10" ht="15.75">
      <c r="A432" s="202"/>
      <c r="B432" s="204"/>
      <c r="C432" s="268"/>
      <c r="D432" s="277"/>
      <c r="E432" s="284"/>
      <c r="F432" s="212"/>
      <c r="G432" s="273"/>
      <c r="H432" s="212"/>
      <c r="I432" s="230"/>
      <c r="J432" s="230"/>
    </row>
    <row r="433" spans="1:10" ht="15.75">
      <c r="A433" s="211"/>
      <c r="B433" s="220"/>
      <c r="C433" s="204"/>
      <c r="D433" s="205"/>
      <c r="E433" s="212"/>
      <c r="F433" s="212"/>
      <c r="G433" s="273"/>
      <c r="H433" s="212"/>
      <c r="I433" s="230"/>
      <c r="J433" s="230"/>
    </row>
    <row r="434" spans="1:10" ht="15.75">
      <c r="A434" s="202"/>
      <c r="B434" s="204"/>
      <c r="C434" s="204"/>
      <c r="D434" s="205"/>
      <c r="E434" s="205"/>
      <c r="F434" s="273"/>
      <c r="G434" s="273"/>
      <c r="H434" s="212"/>
      <c r="I434" s="230"/>
      <c r="J434" s="230"/>
    </row>
    <row r="435" spans="1:10" ht="15.75">
      <c r="A435" s="202"/>
      <c r="B435" s="268"/>
      <c r="C435" s="268"/>
      <c r="D435" s="277"/>
      <c r="E435" s="284"/>
      <c r="F435" s="213"/>
      <c r="G435" s="272"/>
      <c r="H435" s="213"/>
      <c r="I435" s="230"/>
      <c r="J435" s="230"/>
    </row>
    <row r="436" spans="1:10" ht="15.75">
      <c r="A436" s="202"/>
      <c r="B436" s="274"/>
      <c r="C436" s="268"/>
      <c r="D436" s="277"/>
      <c r="E436" s="284"/>
      <c r="F436" s="213"/>
      <c r="G436" s="273"/>
      <c r="H436" s="212"/>
      <c r="I436" s="230"/>
      <c r="J436" s="230"/>
    </row>
    <row r="437" spans="1:10" ht="15.75">
      <c r="A437" s="211"/>
      <c r="B437" s="228"/>
      <c r="C437" s="268"/>
      <c r="D437" s="277"/>
      <c r="E437" s="284"/>
      <c r="F437" s="213"/>
      <c r="G437" s="272"/>
      <c r="H437" s="213"/>
      <c r="I437" s="230"/>
      <c r="J437" s="230"/>
    </row>
    <row r="438" spans="1:10" ht="15.75">
      <c r="A438" s="211"/>
      <c r="B438" s="203"/>
      <c r="C438" s="230"/>
      <c r="D438" s="230"/>
      <c r="E438" s="261"/>
      <c r="F438" s="213"/>
      <c r="G438" s="272"/>
      <c r="H438" s="213"/>
      <c r="I438" s="230"/>
      <c r="J438" s="230"/>
    </row>
    <row r="439" spans="1:10" ht="15.75">
      <c r="A439" s="202"/>
      <c r="B439" s="230"/>
      <c r="C439" s="230"/>
      <c r="D439" s="261"/>
      <c r="E439" s="261"/>
      <c r="F439" s="212"/>
      <c r="G439" s="273"/>
      <c r="H439" s="212"/>
      <c r="I439" s="230"/>
      <c r="J439" s="230"/>
    </row>
    <row r="440" spans="1:10" ht="15.75">
      <c r="A440" s="211"/>
      <c r="B440" s="230"/>
      <c r="C440" s="230"/>
      <c r="D440" s="261"/>
      <c r="E440" s="261"/>
      <c r="F440" s="261"/>
      <c r="G440" s="273"/>
      <c r="H440" s="212"/>
      <c r="I440" s="230"/>
      <c r="J440" s="230"/>
    </row>
    <row r="441" spans="1:10" ht="15.75">
      <c r="A441" s="202"/>
      <c r="B441" s="230"/>
      <c r="C441" s="230"/>
      <c r="D441" s="261"/>
      <c r="E441" s="261"/>
      <c r="F441" s="261"/>
      <c r="G441" s="273"/>
      <c r="H441" s="212"/>
      <c r="I441" s="230"/>
      <c r="J441" s="230"/>
    </row>
    <row r="442" spans="1:10" ht="15.75">
      <c r="A442" s="211"/>
      <c r="B442" s="230"/>
      <c r="C442" s="230"/>
      <c r="D442" s="261"/>
      <c r="E442" s="261"/>
      <c r="F442" s="261"/>
      <c r="G442" s="273"/>
      <c r="H442" s="212"/>
      <c r="I442" s="230"/>
      <c r="J442" s="230"/>
    </row>
    <row r="443" spans="1:10" ht="15.75">
      <c r="A443" s="202"/>
      <c r="B443" s="204"/>
      <c r="C443" s="204"/>
      <c r="D443" s="205"/>
      <c r="E443" s="205"/>
      <c r="F443" s="261"/>
      <c r="G443" s="273"/>
      <c r="H443" s="212"/>
      <c r="I443" s="230"/>
      <c r="J443" s="230"/>
    </row>
    <row r="444" spans="1:10" ht="15.75">
      <c r="A444" s="211"/>
      <c r="B444" s="220"/>
      <c r="C444" s="204"/>
      <c r="D444" s="205"/>
      <c r="E444" s="212"/>
      <c r="F444" s="212"/>
      <c r="G444" s="273"/>
      <c r="H444" s="212"/>
      <c r="I444" s="230"/>
      <c r="J444" s="230"/>
    </row>
    <row r="445" spans="1:10" ht="15.75">
      <c r="A445" s="202"/>
      <c r="B445" s="204"/>
      <c r="C445" s="204"/>
      <c r="D445" s="205"/>
      <c r="E445" s="205"/>
      <c r="F445" s="212"/>
      <c r="G445" s="273"/>
      <c r="H445" s="212"/>
      <c r="I445" s="230"/>
      <c r="J445" s="230"/>
    </row>
    <row r="446" spans="1:10" ht="15.75">
      <c r="A446" s="211"/>
      <c r="B446" s="204"/>
      <c r="C446" s="268"/>
      <c r="D446" s="205"/>
      <c r="E446" s="212"/>
      <c r="F446" s="212"/>
      <c r="G446" s="273"/>
      <c r="H446" s="212"/>
      <c r="I446" s="230"/>
      <c r="J446" s="230"/>
    </row>
    <row r="447" spans="1:10" ht="15.75">
      <c r="A447" s="202"/>
      <c r="B447" s="204"/>
      <c r="C447" s="268"/>
      <c r="D447" s="277"/>
      <c r="E447" s="284"/>
      <c r="F447" s="212"/>
      <c r="G447" s="273"/>
      <c r="H447" s="212"/>
      <c r="I447" s="230"/>
      <c r="J447" s="230"/>
    </row>
    <row r="448" spans="1:10" ht="15.75">
      <c r="A448" s="211"/>
      <c r="B448" s="274"/>
      <c r="C448" s="268"/>
      <c r="D448" s="277"/>
      <c r="E448" s="284"/>
      <c r="F448" s="212"/>
      <c r="G448" s="273"/>
      <c r="H448" s="212"/>
      <c r="I448" s="230"/>
      <c r="J448" s="230"/>
    </row>
    <row r="449" spans="1:10" ht="15.75">
      <c r="A449" s="202"/>
      <c r="B449" s="204"/>
      <c r="C449" s="268"/>
      <c r="D449" s="277"/>
      <c r="E449" s="284"/>
      <c r="F449" s="213"/>
      <c r="G449" s="272"/>
      <c r="H449" s="213"/>
      <c r="I449" s="230"/>
      <c r="J449" s="230"/>
    </row>
    <row r="450" spans="1:10" ht="15.75">
      <c r="A450" s="211"/>
      <c r="B450" s="203"/>
      <c r="C450" s="230"/>
      <c r="D450" s="230"/>
      <c r="E450" s="261"/>
      <c r="F450" s="213"/>
      <c r="G450" s="272"/>
      <c r="H450" s="213"/>
      <c r="I450" s="230"/>
      <c r="J450" s="230"/>
    </row>
    <row r="451" spans="1:10" ht="15.75">
      <c r="A451" s="202"/>
      <c r="B451" s="230"/>
      <c r="C451" s="230"/>
      <c r="D451" s="261"/>
      <c r="E451" s="261"/>
      <c r="F451" s="212"/>
      <c r="G451" s="273"/>
      <c r="H451" s="212"/>
      <c r="I451" s="230"/>
      <c r="J451" s="230"/>
    </row>
    <row r="452" spans="1:10" ht="15.75">
      <c r="A452" s="211"/>
      <c r="B452" s="230"/>
      <c r="C452" s="230"/>
      <c r="D452" s="261"/>
      <c r="E452" s="261"/>
      <c r="F452" s="212"/>
      <c r="G452" s="273"/>
      <c r="H452" s="212"/>
      <c r="I452" s="230"/>
      <c r="J452" s="230"/>
    </row>
    <row r="453" spans="1:10" ht="15.75">
      <c r="A453" s="202"/>
      <c r="B453" s="230"/>
      <c r="C453" s="230"/>
      <c r="D453" s="261"/>
      <c r="E453" s="261"/>
      <c r="F453" s="212"/>
      <c r="G453" s="273"/>
      <c r="H453" s="212"/>
      <c r="I453" s="230"/>
      <c r="J453" s="230"/>
    </row>
    <row r="454" spans="1:10" ht="15.75">
      <c r="A454" s="211"/>
      <c r="B454" s="230"/>
      <c r="C454" s="230"/>
      <c r="D454" s="261"/>
      <c r="E454" s="261"/>
      <c r="F454" s="261"/>
      <c r="G454" s="273"/>
      <c r="H454" s="212"/>
      <c r="I454" s="230"/>
      <c r="J454" s="230"/>
    </row>
    <row r="455" spans="1:10" ht="15.75">
      <c r="A455" s="202"/>
      <c r="B455" s="204"/>
      <c r="C455" s="204"/>
      <c r="D455" s="205"/>
      <c r="E455" s="205"/>
      <c r="F455" s="261"/>
      <c r="G455" s="273"/>
      <c r="H455" s="212"/>
      <c r="I455" s="230"/>
      <c r="J455" s="230"/>
    </row>
    <row r="456" spans="1:10" ht="15.75">
      <c r="A456" s="211"/>
      <c r="B456" s="220"/>
      <c r="C456" s="204"/>
      <c r="D456" s="205"/>
      <c r="E456" s="212"/>
      <c r="F456" s="213"/>
      <c r="G456" s="273"/>
      <c r="H456" s="213"/>
      <c r="I456" s="230"/>
      <c r="J456" s="230"/>
    </row>
    <row r="457" spans="1:10" ht="15.75">
      <c r="A457" s="202"/>
      <c r="B457" s="204"/>
      <c r="C457" s="204"/>
      <c r="D457" s="205"/>
      <c r="E457" s="205"/>
      <c r="F457" s="212"/>
      <c r="G457" s="273"/>
      <c r="H457" s="212"/>
      <c r="I457" s="230"/>
      <c r="J457" s="230"/>
    </row>
    <row r="458" spans="1:10" ht="15.75">
      <c r="A458" s="211"/>
      <c r="B458" s="204"/>
      <c r="C458" s="268"/>
      <c r="D458" s="205"/>
      <c r="E458" s="212"/>
      <c r="F458" s="212"/>
      <c r="G458" s="273"/>
      <c r="H458" s="212"/>
      <c r="I458" s="230"/>
      <c r="J458" s="230"/>
    </row>
    <row r="459" spans="1:10" ht="15.75">
      <c r="A459" s="202"/>
      <c r="B459" s="204"/>
      <c r="C459" s="268"/>
      <c r="D459" s="277"/>
      <c r="E459" s="284"/>
      <c r="F459" s="213"/>
      <c r="G459" s="272"/>
      <c r="H459" s="213"/>
      <c r="I459" s="230"/>
      <c r="J459" s="230"/>
    </row>
    <row r="460" spans="1:10" ht="15.75">
      <c r="A460" s="211"/>
      <c r="B460" s="274"/>
      <c r="C460" s="268"/>
      <c r="D460" s="277"/>
      <c r="E460" s="284"/>
      <c r="F460" s="213"/>
      <c r="G460" s="273"/>
      <c r="H460" s="212"/>
      <c r="I460" s="230"/>
      <c r="J460" s="230"/>
    </row>
    <row r="461" spans="1:10" ht="15.75">
      <c r="A461" s="275"/>
      <c r="B461" s="230"/>
      <c r="C461" s="230"/>
      <c r="D461" s="230"/>
      <c r="E461" s="261"/>
      <c r="F461" s="213"/>
      <c r="G461" s="272"/>
      <c r="H461" s="213"/>
      <c r="I461" s="230"/>
      <c r="J461" s="230"/>
    </row>
    <row r="462" spans="1:10" ht="15.75">
      <c r="A462" s="211"/>
      <c r="B462" s="203"/>
      <c r="C462" s="230"/>
      <c r="D462" s="230"/>
      <c r="E462" s="261"/>
      <c r="F462" s="213"/>
      <c r="G462" s="272"/>
      <c r="H462" s="213"/>
      <c r="I462" s="230"/>
      <c r="J462" s="230"/>
    </row>
    <row r="463" spans="1:10" ht="15.75">
      <c r="A463" s="202"/>
      <c r="B463" s="230"/>
      <c r="C463" s="230"/>
      <c r="D463" s="261"/>
      <c r="E463" s="261"/>
      <c r="F463" s="212"/>
      <c r="G463" s="273"/>
      <c r="H463" s="212"/>
      <c r="I463" s="230"/>
      <c r="J463" s="230"/>
    </row>
    <row r="464" spans="1:10" ht="15.75">
      <c r="A464" s="202"/>
      <c r="B464" s="230"/>
      <c r="C464" s="230"/>
      <c r="D464" s="261"/>
      <c r="E464" s="261"/>
      <c r="F464" s="261"/>
      <c r="G464" s="273"/>
      <c r="H464" s="212"/>
      <c r="I464" s="230"/>
      <c r="J464" s="230"/>
    </row>
    <row r="465" spans="1:10" ht="15.75">
      <c r="A465" s="211"/>
      <c r="B465" s="204"/>
      <c r="C465" s="204"/>
      <c r="D465" s="205"/>
      <c r="E465" s="205"/>
      <c r="F465" s="212"/>
      <c r="G465" s="273"/>
      <c r="H465" s="212"/>
      <c r="I465" s="230"/>
      <c r="J465" s="230"/>
    </row>
    <row r="466" spans="1:10" ht="15.75">
      <c r="A466" s="202"/>
      <c r="B466" s="220"/>
      <c r="C466" s="204"/>
      <c r="D466" s="205"/>
      <c r="E466" s="212"/>
      <c r="F466" s="213"/>
      <c r="G466" s="212"/>
      <c r="H466" s="273"/>
      <c r="I466" s="213"/>
      <c r="J466" s="230"/>
    </row>
    <row r="467" spans="1:10" ht="15.75">
      <c r="A467" s="211"/>
      <c r="B467" s="220"/>
      <c r="C467" s="204"/>
      <c r="D467" s="205"/>
      <c r="E467" s="212"/>
      <c r="F467" s="212"/>
      <c r="G467" s="273"/>
      <c r="H467" s="212"/>
      <c r="I467" s="230"/>
      <c r="J467" s="230"/>
    </row>
    <row r="468" spans="1:10" ht="15.75">
      <c r="A468" s="202"/>
      <c r="B468" s="204"/>
      <c r="C468" s="204"/>
      <c r="D468" s="205"/>
      <c r="E468" s="205"/>
      <c r="F468" s="212"/>
      <c r="G468" s="273"/>
      <c r="H468" s="212"/>
      <c r="I468" s="230"/>
      <c r="J468" s="230"/>
    </row>
    <row r="469" spans="1:10" ht="15.75">
      <c r="A469" s="211"/>
      <c r="B469" s="204"/>
      <c r="C469" s="268"/>
      <c r="D469" s="205"/>
      <c r="E469" s="212"/>
      <c r="F469" s="213"/>
      <c r="G469" s="273"/>
      <c r="H469" s="213"/>
      <c r="I469" s="230"/>
      <c r="J469" s="230"/>
    </row>
    <row r="470" spans="1:10" ht="15.75">
      <c r="A470" s="275"/>
      <c r="B470" s="204"/>
      <c r="C470" s="268"/>
      <c r="D470" s="277"/>
      <c r="E470" s="284"/>
      <c r="F470" s="213"/>
      <c r="G470" s="272"/>
      <c r="H470" s="213"/>
      <c r="I470" s="230"/>
      <c r="J470" s="230"/>
    </row>
    <row r="471" spans="1:10" ht="15.75">
      <c r="A471" s="202"/>
      <c r="B471" s="274"/>
      <c r="C471" s="268"/>
      <c r="D471" s="277"/>
      <c r="E471" s="284"/>
      <c r="F471" s="213"/>
      <c r="G471" s="273"/>
      <c r="H471" s="212"/>
      <c r="I471" s="230"/>
      <c r="J471" s="230"/>
    </row>
    <row r="472" spans="1:10" ht="15.75">
      <c r="A472" s="276"/>
      <c r="B472" s="204"/>
      <c r="C472" s="204"/>
      <c r="D472" s="205"/>
      <c r="E472" s="205"/>
      <c r="F472" s="213"/>
      <c r="G472" s="272"/>
      <c r="H472" s="213"/>
      <c r="I472" s="230"/>
      <c r="J472" s="230"/>
    </row>
    <row r="473" spans="1:10" ht="15.75">
      <c r="A473" s="202"/>
      <c r="B473" s="203"/>
      <c r="C473" s="268"/>
      <c r="D473" s="277"/>
      <c r="E473" s="284"/>
      <c r="F473" s="213"/>
      <c r="G473" s="272"/>
      <c r="H473" s="213"/>
      <c r="I473" s="230"/>
      <c r="J473" s="230"/>
    </row>
    <row r="474" spans="1:10" ht="15.75">
      <c r="A474" s="211"/>
      <c r="B474" s="268"/>
      <c r="C474" s="268"/>
      <c r="D474" s="277"/>
      <c r="E474" s="284"/>
      <c r="F474" s="212"/>
      <c r="G474" s="273"/>
      <c r="H474" s="212"/>
      <c r="I474" s="230"/>
      <c r="J474" s="230"/>
    </row>
    <row r="475" spans="1:10" ht="15.75">
      <c r="A475" s="202"/>
      <c r="B475" s="220"/>
      <c r="C475" s="204"/>
      <c r="D475" s="205"/>
      <c r="E475" s="212"/>
      <c r="F475" s="212"/>
      <c r="G475" s="273"/>
      <c r="H475" s="212"/>
      <c r="I475" s="230"/>
      <c r="J475" s="230"/>
    </row>
    <row r="476" spans="1:10" ht="15.75">
      <c r="A476" s="211"/>
      <c r="B476" s="268"/>
      <c r="C476" s="268"/>
      <c r="D476" s="277"/>
      <c r="E476" s="284"/>
      <c r="F476" s="212"/>
      <c r="G476" s="273"/>
      <c r="H476" s="212"/>
      <c r="I476" s="230"/>
      <c r="J476" s="230"/>
    </row>
    <row r="477" spans="1:10" ht="15.75">
      <c r="A477" s="276"/>
      <c r="B477" s="204"/>
      <c r="C477" s="204"/>
      <c r="D477" s="205"/>
      <c r="E477" s="205"/>
      <c r="F477" s="280"/>
      <c r="G477" s="280"/>
      <c r="H477" s="280"/>
      <c r="I477" s="230"/>
      <c r="J477" s="230"/>
    </row>
    <row r="478" spans="1:10" ht="15.75">
      <c r="A478" s="276"/>
      <c r="B478" s="274"/>
      <c r="C478" s="204"/>
      <c r="D478" s="205"/>
      <c r="E478" s="205"/>
      <c r="F478" s="280"/>
      <c r="G478" s="212"/>
      <c r="H478" s="212"/>
      <c r="I478" s="230"/>
      <c r="J478" s="230"/>
    </row>
    <row r="479" spans="1:10" ht="15.75">
      <c r="A479" s="202"/>
      <c r="B479" s="228"/>
      <c r="C479" s="268"/>
      <c r="D479" s="277"/>
      <c r="E479" s="284"/>
      <c r="F479" s="213"/>
      <c r="G479" s="272"/>
      <c r="H479" s="213"/>
      <c r="I479" s="230"/>
      <c r="J479" s="230"/>
    </row>
    <row r="480" spans="7:10" ht="15.75">
      <c r="G480" s="280"/>
      <c r="H480" s="280"/>
      <c r="I480" s="230"/>
      <c r="J480" s="230"/>
    </row>
    <row r="481" spans="7:10" ht="15.75">
      <c r="G481" s="280"/>
      <c r="H481" s="280"/>
      <c r="I481" s="230"/>
      <c r="J481" s="230"/>
    </row>
    <row r="482" spans="7:10" ht="15.75">
      <c r="G482" s="280"/>
      <c r="H482" s="280"/>
      <c r="I482" s="230"/>
      <c r="J482" s="230"/>
    </row>
    <row r="483" spans="7:10" ht="15.75">
      <c r="G483" s="280"/>
      <c r="H483" s="280"/>
      <c r="I483" s="230"/>
      <c r="J483" s="230"/>
    </row>
    <row r="484" spans="7:10" ht="15.75">
      <c r="G484" s="280"/>
      <c r="H484" s="280"/>
      <c r="I484" s="230"/>
      <c r="J484" s="230"/>
    </row>
    <row r="485" spans="7:10" ht="15.75">
      <c r="G485" s="280"/>
      <c r="H485" s="280"/>
      <c r="I485" s="230"/>
      <c r="J485" s="230"/>
    </row>
    <row r="486" spans="7:10" ht="15.75">
      <c r="G486" s="280"/>
      <c r="H486" s="280"/>
      <c r="I486" s="230"/>
      <c r="J486" s="230"/>
    </row>
    <row r="487" spans="7:10" ht="15.75">
      <c r="G487" s="280"/>
      <c r="H487" s="280"/>
      <c r="I487" s="230"/>
      <c r="J487" s="230"/>
    </row>
    <row r="488" spans="7:10" ht="15.75">
      <c r="G488" s="280"/>
      <c r="H488" s="280"/>
      <c r="I488" s="230"/>
      <c r="J488" s="230"/>
    </row>
    <row r="489" spans="7:10" ht="15.75">
      <c r="G489" s="280"/>
      <c r="H489" s="280"/>
      <c r="I489" s="230"/>
      <c r="J489" s="230"/>
    </row>
    <row r="490" spans="7:10" ht="15.75">
      <c r="G490" s="280"/>
      <c r="H490" s="280"/>
      <c r="I490" s="230"/>
      <c r="J490" s="230"/>
    </row>
    <row r="491" spans="7:10" ht="15.75">
      <c r="G491" s="280"/>
      <c r="H491" s="280"/>
      <c r="I491" s="230"/>
      <c r="J491" s="230"/>
    </row>
    <row r="492" spans="7:10" ht="15.75">
      <c r="G492" s="280"/>
      <c r="H492" s="280"/>
      <c r="I492" s="230"/>
      <c r="J492" s="230"/>
    </row>
    <row r="493" spans="7:10" ht="15.75">
      <c r="G493" s="280"/>
      <c r="H493" s="280"/>
      <c r="I493" s="230"/>
      <c r="J493" s="230"/>
    </row>
    <row r="494" spans="7:10" ht="15.75">
      <c r="G494" s="280"/>
      <c r="H494" s="280"/>
      <c r="I494" s="230"/>
      <c r="J494" s="230"/>
    </row>
    <row r="495" spans="7:10" ht="15.75">
      <c r="G495" s="280"/>
      <c r="H495" s="280"/>
      <c r="I495" s="230"/>
      <c r="J495" s="230"/>
    </row>
    <row r="496" spans="7:10" ht="15.75">
      <c r="G496" s="280"/>
      <c r="H496" s="280"/>
      <c r="I496" s="230"/>
      <c r="J496" s="230"/>
    </row>
    <row r="497" spans="7:10" ht="15.75">
      <c r="G497" s="280"/>
      <c r="H497" s="280"/>
      <c r="I497" s="230"/>
      <c r="J497" s="230"/>
    </row>
    <row r="498" spans="7:10" ht="15.75">
      <c r="G498" s="280"/>
      <c r="H498" s="280"/>
      <c r="I498" s="230"/>
      <c r="J498" s="230"/>
    </row>
    <row r="499" spans="7:10" ht="15.75">
      <c r="G499" s="280"/>
      <c r="H499" s="280"/>
      <c r="I499" s="230"/>
      <c r="J499" s="230"/>
    </row>
    <row r="500" spans="7:10" ht="15.75">
      <c r="G500" s="280"/>
      <c r="H500" s="280"/>
      <c r="I500" s="230"/>
      <c r="J500" s="230"/>
    </row>
    <row r="501" spans="7:10" ht="15.75">
      <c r="G501" s="280"/>
      <c r="H501" s="280"/>
      <c r="I501" s="230"/>
      <c r="J501" s="230"/>
    </row>
    <row r="502" spans="7:10" ht="15.75">
      <c r="G502" s="280"/>
      <c r="H502" s="280"/>
      <c r="I502" s="230"/>
      <c r="J502" s="230"/>
    </row>
    <row r="503" spans="7:10" ht="15.75">
      <c r="G503" s="280"/>
      <c r="H503" s="280"/>
      <c r="I503" s="230"/>
      <c r="J503" s="230"/>
    </row>
    <row r="504" spans="7:10" ht="15.75">
      <c r="G504" s="280"/>
      <c r="H504" s="280"/>
      <c r="I504" s="230"/>
      <c r="J504" s="230"/>
    </row>
    <row r="506" spans="1:8" ht="15.75">
      <c r="A506" s="218"/>
      <c r="F506" s="285"/>
      <c r="G506" s="272"/>
      <c r="H506" s="213"/>
    </row>
    <row r="507" spans="1:8" ht="15.75">
      <c r="A507" s="286"/>
      <c r="F507" s="285"/>
      <c r="G507" s="272"/>
      <c r="H507" s="213"/>
    </row>
    <row r="508" spans="1:8" ht="15.75">
      <c r="A508" s="286"/>
      <c r="F508" s="285"/>
      <c r="G508" s="272"/>
      <c r="H508" s="213"/>
    </row>
    <row r="509" spans="1:8" ht="15.75">
      <c r="A509" s="286"/>
      <c r="E509" s="287"/>
      <c r="G509" s="285"/>
      <c r="H509" s="213"/>
    </row>
    <row r="510" spans="1:8" ht="15.75">
      <c r="A510" s="218"/>
      <c r="B510" s="288"/>
      <c r="C510" s="288"/>
      <c r="D510" s="289"/>
      <c r="E510" s="290"/>
      <c r="G510" s="285"/>
      <c r="H510" s="213"/>
    </row>
    <row r="511" spans="1:8" ht="15.75">
      <c r="A511" s="286"/>
      <c r="B511" s="288"/>
      <c r="C511" s="288"/>
      <c r="D511" s="289"/>
      <c r="E511" s="290"/>
      <c r="G511" s="285"/>
      <c r="H511" s="213"/>
    </row>
    <row r="512" spans="1:8" ht="15.75">
      <c r="A512" s="286"/>
      <c r="B512" s="291"/>
      <c r="C512" s="288"/>
      <c r="D512" s="289"/>
      <c r="E512" s="290"/>
      <c r="G512" s="285"/>
      <c r="H512" s="213"/>
    </row>
    <row r="513" spans="1:8" ht="15.75">
      <c r="A513" s="286"/>
      <c r="B513" s="288"/>
      <c r="C513" s="288"/>
      <c r="D513" s="289"/>
      <c r="E513" s="290"/>
      <c r="G513" s="285"/>
      <c r="H513" s="213"/>
    </row>
    <row r="514" spans="1:8" ht="15.75">
      <c r="A514" s="218"/>
      <c r="B514" s="292"/>
      <c r="E514" s="293"/>
      <c r="G514" s="285"/>
      <c r="H514" s="213"/>
    </row>
    <row r="515" spans="1:8" ht="15.75">
      <c r="A515" s="286"/>
      <c r="B515" s="292"/>
      <c r="E515" s="293"/>
      <c r="G515" s="285"/>
      <c r="H515" s="213"/>
    </row>
    <row r="516" spans="1:8" ht="15.75">
      <c r="A516" s="218"/>
      <c r="C516" s="288"/>
      <c r="D516" s="289"/>
      <c r="E516" s="290"/>
      <c r="G516" s="285"/>
      <c r="H516" s="213"/>
    </row>
    <row r="517" spans="1:8" ht="15.75">
      <c r="A517" s="286"/>
      <c r="C517" s="288"/>
      <c r="D517" s="289"/>
      <c r="E517" s="290"/>
      <c r="G517" s="285"/>
      <c r="H517" s="213"/>
    </row>
    <row r="518" spans="1:8" ht="15.75">
      <c r="A518" s="218"/>
      <c r="D518" s="289"/>
      <c r="E518" s="290"/>
      <c r="G518" s="285"/>
      <c r="H518" s="213"/>
    </row>
    <row r="519" spans="1:8" ht="15.75">
      <c r="A519" s="218"/>
      <c r="B519" s="288"/>
      <c r="C519" s="288"/>
      <c r="D519" s="289"/>
      <c r="E519" s="290"/>
      <c r="G519" s="285"/>
      <c r="H519" s="213"/>
    </row>
    <row r="520" spans="1:8" ht="15.75">
      <c r="A520" s="286"/>
      <c r="B520" s="288"/>
      <c r="C520" s="288"/>
      <c r="D520" s="289"/>
      <c r="E520" s="290"/>
      <c r="G520" s="285"/>
      <c r="H520" s="213"/>
    </row>
    <row r="521" spans="1:8" ht="15.75">
      <c r="A521" s="218"/>
      <c r="B521" s="288"/>
      <c r="C521" s="288"/>
      <c r="D521" s="289"/>
      <c r="E521" s="290"/>
      <c r="G521" s="285"/>
      <c r="H521" s="213"/>
    </row>
    <row r="522" spans="1:8" ht="15.75">
      <c r="A522" s="218"/>
      <c r="B522" s="288"/>
      <c r="C522" s="288"/>
      <c r="D522" s="289"/>
      <c r="E522" s="290"/>
      <c r="G522" s="285"/>
      <c r="H522" s="213"/>
    </row>
    <row r="523" spans="1:8" ht="15.75">
      <c r="A523" s="286"/>
      <c r="B523" s="294"/>
      <c r="C523" s="288"/>
      <c r="D523" s="289"/>
      <c r="E523" s="290"/>
      <c r="G523" s="285"/>
      <c r="H523" s="213"/>
    </row>
    <row r="524" spans="1:8" ht="15.75">
      <c r="A524" s="218"/>
      <c r="B524" s="294"/>
      <c r="C524" s="288"/>
      <c r="D524" s="289"/>
      <c r="E524" s="290"/>
      <c r="G524" s="285"/>
      <c r="H524" s="213"/>
    </row>
    <row r="525" spans="1:8" ht="15.75">
      <c r="A525" s="218"/>
      <c r="B525" s="294"/>
      <c r="C525" s="288"/>
      <c r="D525" s="289"/>
      <c r="E525" s="290"/>
      <c r="G525" s="285"/>
      <c r="H525" s="213"/>
    </row>
    <row r="526" spans="1:8" ht="15.75">
      <c r="A526" s="286"/>
      <c r="F526" s="285"/>
      <c r="G526" s="272"/>
      <c r="H526" s="213"/>
    </row>
    <row r="527" spans="1:8" ht="15.75">
      <c r="A527" s="286"/>
      <c r="B527" s="295"/>
      <c r="E527" s="287"/>
      <c r="F527" s="285"/>
      <c r="G527" s="296"/>
      <c r="H527" s="213"/>
    </row>
    <row r="528" spans="1:8" ht="15.75">
      <c r="A528" s="286"/>
      <c r="B528" s="295"/>
      <c r="E528" s="287"/>
      <c r="F528" s="285"/>
      <c r="G528" s="272"/>
      <c r="H528" s="213"/>
    </row>
    <row r="529" spans="1:8" ht="15.75">
      <c r="A529" s="286"/>
      <c r="B529" s="295"/>
      <c r="E529" s="287"/>
      <c r="F529" s="285"/>
      <c r="G529" s="272"/>
      <c r="H529" s="213"/>
    </row>
    <row r="530" ht="15.75">
      <c r="H530" s="213"/>
    </row>
    <row r="531" ht="15.75">
      <c r="H531" s="213"/>
    </row>
    <row r="532" ht="15.75">
      <c r="H532" s="213"/>
    </row>
    <row r="533" ht="15.75">
      <c r="H533" s="213"/>
    </row>
    <row r="534" ht="15.75">
      <c r="H534" s="213"/>
    </row>
    <row r="535" ht="15.75">
      <c r="H535" s="213"/>
    </row>
    <row r="536" ht="15.75">
      <c r="H536" s="213"/>
    </row>
    <row r="537" spans="3:8" ht="15.75">
      <c r="C537" s="288"/>
      <c r="D537" s="289"/>
      <c r="E537" s="297"/>
      <c r="F537" s="272"/>
      <c r="H537" s="213"/>
    </row>
    <row r="538" spans="2:8" ht="15.75">
      <c r="B538" s="172"/>
      <c r="C538" s="172"/>
      <c r="D538" s="172"/>
      <c r="E538" s="218"/>
      <c r="F538" s="172"/>
      <c r="G538" s="172"/>
      <c r="H538" s="213"/>
    </row>
    <row r="539" ht="15.75">
      <c r="B539" s="172"/>
    </row>
    <row r="540" spans="6:8" ht="15.75">
      <c r="F540" s="285"/>
      <c r="G540" s="272"/>
      <c r="H540" s="213"/>
    </row>
    <row r="541" spans="3:8" ht="15.75">
      <c r="C541" s="288"/>
      <c r="D541" s="289"/>
      <c r="E541" s="290"/>
      <c r="F541" s="285"/>
      <c r="G541" s="272"/>
      <c r="H541" s="213"/>
    </row>
    <row r="542" spans="3:8" ht="15.75">
      <c r="C542" s="288"/>
      <c r="D542" s="289"/>
      <c r="E542" s="290"/>
      <c r="F542" s="285"/>
      <c r="G542" s="272"/>
      <c r="H542" s="213"/>
    </row>
    <row r="543" spans="3:8" ht="15.75">
      <c r="C543" s="288"/>
      <c r="D543" s="289"/>
      <c r="E543" s="290"/>
      <c r="F543" s="285"/>
      <c r="G543" s="272"/>
      <c r="H543" s="213"/>
    </row>
    <row r="544" spans="3:8" ht="15.75">
      <c r="C544" s="288"/>
      <c r="D544" s="289"/>
      <c r="E544" s="290"/>
      <c r="F544" s="285"/>
      <c r="G544" s="272"/>
      <c r="H544" s="213"/>
    </row>
    <row r="545" spans="4:8" ht="15.75">
      <c r="D545" s="289"/>
      <c r="E545" s="290"/>
      <c r="F545" s="285"/>
      <c r="G545" s="272"/>
      <c r="H545" s="213"/>
    </row>
    <row r="546" spans="2:8" ht="15.75">
      <c r="B546" s="288"/>
      <c r="C546" s="288"/>
      <c r="D546" s="289"/>
      <c r="E546" s="290"/>
      <c r="F546" s="285"/>
      <c r="G546" s="272"/>
      <c r="H546" s="213"/>
    </row>
    <row r="547" spans="2:8" ht="15.75">
      <c r="B547" s="288"/>
      <c r="C547" s="288"/>
      <c r="D547" s="289"/>
      <c r="E547" s="290"/>
      <c r="F547" s="285"/>
      <c r="G547" s="272"/>
      <c r="H547" s="213"/>
    </row>
    <row r="548" spans="2:8" ht="15.75">
      <c r="B548" s="288"/>
      <c r="C548" s="288"/>
      <c r="D548" s="289"/>
      <c r="E548" s="290"/>
      <c r="F548" s="285"/>
      <c r="G548" s="272"/>
      <c r="H548" s="213"/>
    </row>
    <row r="549" spans="2:8" ht="15.75">
      <c r="B549" s="288"/>
      <c r="C549" s="288"/>
      <c r="D549" s="289"/>
      <c r="E549" s="290"/>
      <c r="F549" s="285"/>
      <c r="G549" s="272"/>
      <c r="H549" s="213"/>
    </row>
    <row r="550" spans="2:8" ht="15.75">
      <c r="B550" s="294"/>
      <c r="C550" s="288"/>
      <c r="D550" s="289"/>
      <c r="E550" s="290"/>
      <c r="F550" s="285"/>
      <c r="G550" s="272"/>
      <c r="H550" s="213"/>
    </row>
    <row r="551" spans="2:8" ht="15.75">
      <c r="B551" s="294"/>
      <c r="C551" s="288"/>
      <c r="D551" s="289"/>
      <c r="E551" s="290"/>
      <c r="F551" s="285"/>
      <c r="G551" s="272"/>
      <c r="H551" s="213"/>
    </row>
    <row r="552" spans="2:8" ht="15.75">
      <c r="B552" s="294"/>
      <c r="C552" s="288"/>
      <c r="D552" s="289"/>
      <c r="E552" s="290"/>
      <c r="F552" s="285"/>
      <c r="G552" s="272"/>
      <c r="H552" s="213"/>
    </row>
    <row r="553" spans="6:8" ht="15.75">
      <c r="F553" s="285"/>
      <c r="G553" s="272"/>
      <c r="H553" s="213"/>
    </row>
    <row r="554" spans="6:8" ht="15.75">
      <c r="F554" s="285"/>
      <c r="G554" s="272"/>
      <c r="H554" s="213"/>
    </row>
    <row r="555" spans="6:8" ht="15.75">
      <c r="F555" s="285"/>
      <c r="G555" s="272"/>
      <c r="H555" s="213"/>
    </row>
    <row r="556" spans="6:8" ht="15.75">
      <c r="F556" s="285"/>
      <c r="G556" s="272"/>
      <c r="H556" s="213"/>
    </row>
    <row r="557" spans="6:8" ht="15.75">
      <c r="F557" s="285"/>
      <c r="G557" s="272"/>
      <c r="H557" s="213"/>
    </row>
    <row r="558" spans="6:8" ht="15.75">
      <c r="F558" s="285"/>
      <c r="G558" s="272"/>
      <c r="H558" s="213"/>
    </row>
    <row r="559" spans="6:8" ht="15.75">
      <c r="F559" s="285"/>
      <c r="G559" s="272"/>
      <c r="H559" s="213"/>
    </row>
    <row r="560" spans="6:8" ht="15.75">
      <c r="F560" s="285"/>
      <c r="G560" s="272"/>
      <c r="H560" s="213"/>
    </row>
    <row r="561" spans="6:8" ht="15.75">
      <c r="F561" s="285"/>
      <c r="G561" s="272"/>
      <c r="H561" s="213"/>
    </row>
    <row r="562" spans="6:8" ht="15.75">
      <c r="F562" s="285"/>
      <c r="G562" s="272"/>
      <c r="H562" s="213"/>
    </row>
    <row r="563" spans="6:8" ht="15.75">
      <c r="F563" s="285"/>
      <c r="G563" s="272"/>
      <c r="H563" s="213"/>
    </row>
    <row r="564" spans="6:8" ht="15.75">
      <c r="F564" s="285"/>
      <c r="G564" s="272"/>
      <c r="H564" s="213"/>
    </row>
    <row r="565" spans="6:8" ht="15.75">
      <c r="F565" s="172"/>
      <c r="G565" s="272"/>
      <c r="H565" s="213"/>
    </row>
    <row r="566" spans="1:8" ht="15.75">
      <c r="A566" s="286"/>
      <c r="B566" s="292"/>
      <c r="E566" s="293"/>
      <c r="F566" s="285"/>
      <c r="G566" s="272"/>
      <c r="H566" s="213"/>
    </row>
    <row r="567" spans="1:8" ht="15.75">
      <c r="A567" s="218"/>
      <c r="B567" s="291"/>
      <c r="E567" s="293"/>
      <c r="F567" s="285"/>
      <c r="G567" s="272"/>
      <c r="H567" s="213"/>
    </row>
    <row r="568" spans="1:8" ht="15.75">
      <c r="A568" s="286"/>
      <c r="B568" s="292"/>
      <c r="E568" s="293"/>
      <c r="F568" s="285"/>
      <c r="G568" s="272"/>
      <c r="H568" s="213"/>
    </row>
    <row r="569" spans="1:8" ht="15.75">
      <c r="A569" s="218"/>
      <c r="B569" s="292"/>
      <c r="E569" s="293"/>
      <c r="F569" s="285"/>
      <c r="G569" s="272"/>
      <c r="H569" s="213"/>
    </row>
    <row r="570" spans="1:8" ht="15.75">
      <c r="A570" s="286"/>
      <c r="B570" s="292"/>
      <c r="E570" s="293"/>
      <c r="F570" s="285"/>
      <c r="G570" s="272"/>
      <c r="H570" s="213"/>
    </row>
    <row r="571" spans="1:8" ht="15.75">
      <c r="A571" s="218"/>
      <c r="B571" s="292"/>
      <c r="E571" s="293"/>
      <c r="F571" s="285"/>
      <c r="G571" s="272"/>
      <c r="H571" s="213"/>
    </row>
    <row r="572" spans="1:8" ht="15.75">
      <c r="A572" s="286"/>
      <c r="B572" s="292"/>
      <c r="E572" s="293"/>
      <c r="F572" s="285"/>
      <c r="G572" s="272"/>
      <c r="H572" s="213"/>
    </row>
    <row r="573" spans="1:8" ht="15.75">
      <c r="A573" s="218"/>
      <c r="B573" s="292"/>
      <c r="E573" s="293"/>
      <c r="F573" s="285"/>
      <c r="G573" s="272"/>
      <c r="H573" s="213"/>
    </row>
    <row r="574" spans="1:8" ht="15.75">
      <c r="A574" s="286"/>
      <c r="B574" s="292"/>
      <c r="E574" s="293"/>
      <c r="F574" s="285"/>
      <c r="G574" s="272"/>
      <c r="H574" s="213"/>
    </row>
    <row r="575" spans="1:8" ht="15.75">
      <c r="A575" s="218"/>
      <c r="B575" s="292"/>
      <c r="E575" s="293"/>
      <c r="F575" s="285"/>
      <c r="G575" s="272"/>
      <c r="H575" s="213"/>
    </row>
    <row r="576" spans="1:8" ht="15.75">
      <c r="A576" s="286"/>
      <c r="B576" s="292"/>
      <c r="E576" s="293"/>
      <c r="F576" s="285"/>
      <c r="G576" s="272"/>
      <c r="H576" s="213"/>
    </row>
    <row r="577" spans="1:8" ht="15.75">
      <c r="A577" s="218"/>
      <c r="B577" s="292"/>
      <c r="E577" s="293"/>
      <c r="F577" s="285"/>
      <c r="G577" s="272"/>
      <c r="H577" s="213"/>
    </row>
    <row r="578" spans="1:8" ht="15.75">
      <c r="A578" s="286"/>
      <c r="C578" s="288"/>
      <c r="D578" s="289"/>
      <c r="E578" s="290"/>
      <c r="F578" s="285"/>
      <c r="G578" s="272"/>
      <c r="H578" s="213"/>
    </row>
    <row r="579" spans="1:8" ht="15.75">
      <c r="A579" s="218"/>
      <c r="C579" s="288"/>
      <c r="D579" s="289"/>
      <c r="E579" s="290"/>
      <c r="F579" s="285"/>
      <c r="G579" s="272"/>
      <c r="H579" s="213"/>
    </row>
    <row r="580" spans="1:8" ht="15.75">
      <c r="A580" s="286"/>
      <c r="C580" s="288"/>
      <c r="D580" s="289"/>
      <c r="E580" s="290"/>
      <c r="F580" s="285"/>
      <c r="G580" s="272"/>
      <c r="H580" s="213"/>
    </row>
    <row r="581" spans="1:8" ht="15.75">
      <c r="A581" s="218"/>
      <c r="C581" s="288"/>
      <c r="D581" s="289"/>
      <c r="E581" s="290"/>
      <c r="F581" s="285"/>
      <c r="G581" s="272"/>
      <c r="H581" s="213"/>
    </row>
    <row r="582" spans="1:8" ht="15.75">
      <c r="A582" s="286"/>
      <c r="C582" s="288"/>
      <c r="D582" s="289"/>
      <c r="E582" s="290"/>
      <c r="F582" s="285"/>
      <c r="G582" s="272"/>
      <c r="H582" s="213"/>
    </row>
    <row r="583" spans="1:8" ht="15.75">
      <c r="A583" s="218"/>
      <c r="D583" s="289"/>
      <c r="E583" s="290"/>
      <c r="F583" s="285"/>
      <c r="G583" s="272"/>
      <c r="H583" s="213"/>
    </row>
    <row r="584" spans="1:8" ht="15.75">
      <c r="A584" s="286"/>
      <c r="B584" s="288"/>
      <c r="C584" s="288"/>
      <c r="D584" s="289"/>
      <c r="E584" s="290"/>
      <c r="F584" s="285"/>
      <c r="G584" s="272"/>
      <c r="H584" s="213"/>
    </row>
    <row r="585" spans="1:8" ht="15.75">
      <c r="A585" s="218"/>
      <c r="B585" s="288"/>
      <c r="C585" s="288"/>
      <c r="D585" s="289"/>
      <c r="E585" s="290"/>
      <c r="F585" s="285"/>
      <c r="G585" s="272"/>
      <c r="H585" s="213"/>
    </row>
    <row r="586" spans="1:8" ht="15.75">
      <c r="A586" s="286"/>
      <c r="B586" s="288"/>
      <c r="C586" s="288"/>
      <c r="D586" s="289"/>
      <c r="E586" s="290"/>
      <c r="F586" s="285"/>
      <c r="G586" s="272"/>
      <c r="H586" s="213"/>
    </row>
    <row r="587" spans="1:8" ht="15.75">
      <c r="A587" s="218"/>
      <c r="B587" s="288"/>
      <c r="C587" s="288"/>
      <c r="D587" s="289"/>
      <c r="E587" s="290"/>
      <c r="F587" s="285"/>
      <c r="G587" s="272"/>
      <c r="H587" s="213"/>
    </row>
    <row r="588" spans="1:8" ht="15.75">
      <c r="A588" s="286"/>
      <c r="B588" s="294"/>
      <c r="C588" s="288"/>
      <c r="D588" s="289"/>
      <c r="E588" s="290"/>
      <c r="F588" s="285"/>
      <c r="G588" s="272"/>
      <c r="H588" s="213"/>
    </row>
    <row r="589" spans="1:8" ht="15.75">
      <c r="A589" s="218"/>
      <c r="B589" s="294"/>
      <c r="C589" s="288"/>
      <c r="D589" s="289"/>
      <c r="E589" s="290"/>
      <c r="F589" s="285"/>
      <c r="G589" s="272"/>
      <c r="H589" s="213"/>
    </row>
    <row r="590" spans="1:8" ht="15.75">
      <c r="A590" s="286"/>
      <c r="B590" s="294"/>
      <c r="C590" s="288"/>
      <c r="D590" s="289"/>
      <c r="E590" s="290"/>
      <c r="F590" s="285"/>
      <c r="G590" s="272"/>
      <c r="H590" s="213"/>
    </row>
    <row r="591" spans="1:8" ht="15.75">
      <c r="A591" s="286"/>
      <c r="B591" s="292"/>
      <c r="E591" s="293"/>
      <c r="F591" s="285"/>
      <c r="G591" s="272"/>
      <c r="H591" s="213"/>
    </row>
    <row r="592" spans="1:8" ht="15.75">
      <c r="A592" s="286"/>
      <c r="B592" s="295"/>
      <c r="E592" s="293"/>
      <c r="F592" s="285"/>
      <c r="G592" s="272"/>
      <c r="H592" s="213"/>
    </row>
    <row r="593" spans="1:8" ht="15.75">
      <c r="A593" s="286"/>
      <c r="B593" s="295"/>
      <c r="E593" s="293"/>
      <c r="F593" s="285"/>
      <c r="G593" s="272"/>
      <c r="H593" s="213"/>
    </row>
    <row r="594" spans="1:8" ht="15.75">
      <c r="A594" s="286"/>
      <c r="B594" s="295"/>
      <c r="E594" s="293"/>
      <c r="F594" s="285"/>
      <c r="G594" s="272"/>
      <c r="H594" s="213"/>
    </row>
    <row r="595" spans="7:8" ht="15.75">
      <c r="G595" s="272"/>
      <c r="H595" s="213"/>
    </row>
    <row r="596" spans="7:8" ht="15.75">
      <c r="G596" s="272"/>
      <c r="H596" s="213"/>
    </row>
    <row r="597" spans="7:8" ht="15.75">
      <c r="G597" s="272"/>
      <c r="H597" s="213"/>
    </row>
    <row r="598" spans="7:8" ht="15.75">
      <c r="G598" s="272"/>
      <c r="H598" s="213"/>
    </row>
    <row r="599" spans="7:8" ht="15.75">
      <c r="G599" s="272"/>
      <c r="H599" s="213"/>
    </row>
    <row r="600" spans="7:8" ht="15.75">
      <c r="G600" s="272"/>
      <c r="H600" s="213"/>
    </row>
    <row r="601" spans="7:8" ht="15.75">
      <c r="G601" s="272"/>
      <c r="H601" s="213"/>
    </row>
    <row r="602" spans="7:8" ht="15.75">
      <c r="G602" s="272"/>
      <c r="H602" s="213"/>
    </row>
    <row r="603" spans="7:8" ht="15.75">
      <c r="G603" s="272"/>
      <c r="H603" s="213"/>
    </row>
    <row r="604" spans="7:8" ht="15.75">
      <c r="G604" s="272"/>
      <c r="H604" s="213"/>
    </row>
    <row r="605" spans="7:8" ht="15.75">
      <c r="G605" s="272"/>
      <c r="H605" s="213"/>
    </row>
    <row r="606" spans="7:8" ht="15.75">
      <c r="G606" s="272"/>
      <c r="H606" s="213"/>
    </row>
    <row r="607" spans="7:8" ht="15.75">
      <c r="G607" s="272"/>
      <c r="H607" s="213"/>
    </row>
    <row r="608" spans="7:8" ht="15.75">
      <c r="G608" s="272"/>
      <c r="H608" s="213"/>
    </row>
    <row r="609" spans="7:8" ht="15.75">
      <c r="G609" s="272"/>
      <c r="H609" s="213"/>
    </row>
    <row r="610" spans="7:8" ht="15.75">
      <c r="G610" s="272"/>
      <c r="H610" s="213"/>
    </row>
    <row r="611" spans="7:8" ht="15.75">
      <c r="G611" s="272"/>
      <c r="H611" s="213"/>
    </row>
    <row r="612" spans="7:8" ht="15.75">
      <c r="G612" s="272"/>
      <c r="H612" s="213"/>
    </row>
    <row r="613" spans="7:8" ht="15.75">
      <c r="G613" s="272"/>
      <c r="H613" s="213"/>
    </row>
    <row r="614" spans="7:8" ht="15.75">
      <c r="G614" s="272"/>
      <c r="H614" s="213"/>
    </row>
    <row r="615" spans="7:8" ht="15.75">
      <c r="G615" s="272"/>
      <c r="H615" s="213"/>
    </row>
    <row r="616" spans="7:8" ht="15.75">
      <c r="G616" s="272"/>
      <c r="H616" s="213"/>
    </row>
    <row r="617" spans="7:8" ht="15.75">
      <c r="G617" s="272"/>
      <c r="H617" s="213"/>
    </row>
    <row r="618" spans="1:8" ht="15.75">
      <c r="A618" s="218"/>
      <c r="B618" s="291"/>
      <c r="E618" s="293"/>
      <c r="F618" s="285"/>
      <c r="G618" s="272"/>
      <c r="H618" s="213"/>
    </row>
    <row r="619" spans="1:8" ht="15.75">
      <c r="A619" s="286"/>
      <c r="B619" s="292"/>
      <c r="E619" s="293"/>
      <c r="F619" s="285"/>
      <c r="G619" s="272"/>
      <c r="H619" s="213"/>
    </row>
    <row r="620" spans="1:8" ht="15.75">
      <c r="A620" s="218"/>
      <c r="B620" s="292"/>
      <c r="E620" s="293"/>
      <c r="F620" s="285"/>
      <c r="G620" s="272"/>
      <c r="H620" s="213"/>
    </row>
    <row r="621" spans="1:8" ht="15.75">
      <c r="A621" s="286"/>
      <c r="B621" s="292"/>
      <c r="E621" s="293"/>
      <c r="F621" s="285"/>
      <c r="G621" s="272"/>
      <c r="H621" s="213"/>
    </row>
    <row r="622" spans="1:8" ht="15.75">
      <c r="A622" s="218"/>
      <c r="B622" s="292"/>
      <c r="E622" s="293"/>
      <c r="F622" s="285"/>
      <c r="G622" s="272"/>
      <c r="H622" s="213"/>
    </row>
    <row r="623" spans="1:8" ht="15.75">
      <c r="A623" s="286"/>
      <c r="B623" s="172"/>
      <c r="E623" s="293"/>
      <c r="F623" s="285"/>
      <c r="G623" s="272"/>
      <c r="H623" s="213"/>
    </row>
    <row r="624" spans="1:8" ht="15.75">
      <c r="A624" s="218"/>
      <c r="B624" s="292"/>
      <c r="E624" s="293"/>
      <c r="F624" s="285"/>
      <c r="G624" s="272"/>
      <c r="H624" s="213"/>
    </row>
    <row r="625" spans="1:8" ht="15.75">
      <c r="A625" s="286"/>
      <c r="B625" s="292"/>
      <c r="E625" s="293"/>
      <c r="F625" s="285"/>
      <c r="G625" s="272"/>
      <c r="H625" s="213"/>
    </row>
    <row r="626" spans="1:8" ht="15.75">
      <c r="A626" s="218"/>
      <c r="B626" s="292"/>
      <c r="E626" s="293"/>
      <c r="F626" s="285"/>
      <c r="G626" s="272"/>
      <c r="H626" s="213"/>
    </row>
    <row r="627" spans="1:8" ht="15.75">
      <c r="A627" s="286"/>
      <c r="B627" s="292"/>
      <c r="E627" s="293"/>
      <c r="F627" s="285"/>
      <c r="G627" s="272"/>
      <c r="H627" s="213"/>
    </row>
    <row r="628" spans="1:8" ht="15.75">
      <c r="A628" s="218"/>
      <c r="B628" s="292"/>
      <c r="E628" s="293"/>
      <c r="F628" s="285"/>
      <c r="G628" s="272"/>
      <c r="H628" s="213"/>
    </row>
    <row r="629" spans="1:8" ht="15.75">
      <c r="A629" s="286"/>
      <c r="C629" s="288"/>
      <c r="D629" s="289"/>
      <c r="E629" s="290"/>
      <c r="F629" s="285"/>
      <c r="G629" s="272"/>
      <c r="H629" s="213"/>
    </row>
    <row r="630" spans="1:8" ht="15.75">
      <c r="A630" s="218"/>
      <c r="C630" s="288"/>
      <c r="D630" s="289"/>
      <c r="E630" s="290"/>
      <c r="F630" s="285"/>
      <c r="G630" s="272"/>
      <c r="H630" s="213"/>
    </row>
    <row r="631" spans="1:8" ht="15.75">
      <c r="A631" s="286"/>
      <c r="C631" s="288"/>
      <c r="D631" s="289"/>
      <c r="E631" s="290"/>
      <c r="F631" s="285"/>
      <c r="G631" s="272"/>
      <c r="H631" s="213"/>
    </row>
    <row r="632" spans="1:8" ht="15.75">
      <c r="A632" s="218"/>
      <c r="C632" s="288"/>
      <c r="D632" s="289"/>
      <c r="E632" s="290"/>
      <c r="F632" s="285"/>
      <c r="G632" s="272"/>
      <c r="H632" s="213"/>
    </row>
    <row r="633" spans="1:8" ht="15.75">
      <c r="A633" s="286"/>
      <c r="C633" s="288"/>
      <c r="D633" s="289"/>
      <c r="E633" s="290"/>
      <c r="F633" s="285"/>
      <c r="G633" s="272"/>
      <c r="H633" s="213"/>
    </row>
    <row r="634" spans="1:8" ht="15.75">
      <c r="A634" s="218"/>
      <c r="D634" s="289"/>
      <c r="E634" s="290"/>
      <c r="F634" s="285"/>
      <c r="G634" s="272"/>
      <c r="H634" s="213"/>
    </row>
    <row r="635" spans="1:8" ht="15.75">
      <c r="A635" s="286"/>
      <c r="B635" s="288"/>
      <c r="C635" s="288"/>
      <c r="D635" s="289"/>
      <c r="E635" s="290"/>
      <c r="F635" s="285"/>
      <c r="G635" s="272"/>
      <c r="H635" s="213"/>
    </row>
    <row r="636" spans="1:8" ht="15.75">
      <c r="A636" s="218"/>
      <c r="B636" s="288"/>
      <c r="C636" s="288"/>
      <c r="D636" s="289"/>
      <c r="E636" s="290"/>
      <c r="F636" s="285"/>
      <c r="G636" s="272"/>
      <c r="H636" s="213"/>
    </row>
    <row r="637" spans="1:8" ht="15.75">
      <c r="A637" s="286"/>
      <c r="B637" s="288"/>
      <c r="C637" s="288"/>
      <c r="D637" s="289"/>
      <c r="E637" s="290"/>
      <c r="F637" s="285"/>
      <c r="G637" s="272"/>
      <c r="H637" s="213"/>
    </row>
    <row r="638" spans="1:8" ht="15.75">
      <c r="A638" s="218"/>
      <c r="B638" s="288"/>
      <c r="C638" s="288"/>
      <c r="D638" s="289"/>
      <c r="E638" s="290"/>
      <c r="F638" s="285"/>
      <c r="G638" s="272"/>
      <c r="H638" s="213"/>
    </row>
    <row r="639" spans="1:8" ht="15.75">
      <c r="A639" s="286"/>
      <c r="B639" s="294"/>
      <c r="C639" s="288"/>
      <c r="D639" s="289"/>
      <c r="E639" s="290"/>
      <c r="F639" s="285"/>
      <c r="G639" s="272"/>
      <c r="H639" s="213"/>
    </row>
    <row r="640" spans="1:8" ht="15.75">
      <c r="A640" s="218"/>
      <c r="B640" s="294"/>
      <c r="C640" s="288"/>
      <c r="D640" s="289"/>
      <c r="E640" s="290"/>
      <c r="F640" s="285"/>
      <c r="G640" s="272"/>
      <c r="H640" s="213"/>
    </row>
    <row r="641" spans="1:8" ht="15.75">
      <c r="A641" s="286"/>
      <c r="B641" s="294"/>
      <c r="C641" s="288"/>
      <c r="D641" s="289"/>
      <c r="E641" s="290"/>
      <c r="F641" s="285"/>
      <c r="G641" s="272"/>
      <c r="H641" s="213"/>
    </row>
    <row r="642" spans="1:8" ht="15.75">
      <c r="A642" s="286"/>
      <c r="B642" s="292"/>
      <c r="E642" s="293"/>
      <c r="F642" s="285"/>
      <c r="G642" s="272"/>
      <c r="H642" s="213"/>
    </row>
    <row r="643" spans="1:8" ht="15.75">
      <c r="A643" s="286"/>
      <c r="B643" s="295"/>
      <c r="E643" s="293"/>
      <c r="F643" s="285"/>
      <c r="G643" s="272"/>
      <c r="H643" s="213"/>
    </row>
    <row r="644" spans="1:8" ht="15.75">
      <c r="A644" s="286"/>
      <c r="B644" s="295"/>
      <c r="E644" s="287"/>
      <c r="F644" s="285"/>
      <c r="G644" s="272"/>
      <c r="H644" s="213"/>
    </row>
    <row r="645" spans="1:8" ht="15.75">
      <c r="A645" s="286"/>
      <c r="B645" s="295"/>
      <c r="E645" s="287"/>
      <c r="F645" s="285"/>
      <c r="G645" s="272"/>
      <c r="H645" s="213"/>
    </row>
    <row r="646" spans="1:8" ht="15.75">
      <c r="A646" s="218"/>
      <c r="B646" s="291"/>
      <c r="E646" s="293"/>
      <c r="F646" s="285"/>
      <c r="G646" s="272"/>
      <c r="H646" s="213"/>
    </row>
    <row r="647" spans="1:8" ht="15.75">
      <c r="A647" s="286"/>
      <c r="B647" s="292"/>
      <c r="E647" s="293"/>
      <c r="F647" s="285"/>
      <c r="G647" s="272"/>
      <c r="H647" s="213"/>
    </row>
    <row r="648" spans="1:8" ht="15.75">
      <c r="A648" s="218"/>
      <c r="B648" s="292"/>
      <c r="E648" s="293"/>
      <c r="F648" s="285"/>
      <c r="G648" s="272"/>
      <c r="H648" s="213"/>
    </row>
    <row r="649" spans="1:8" ht="15.75">
      <c r="A649" s="286"/>
      <c r="B649" s="292"/>
      <c r="E649" s="293"/>
      <c r="F649" s="285"/>
      <c r="G649" s="272"/>
      <c r="H649" s="213"/>
    </row>
    <row r="650" spans="1:8" ht="15.75">
      <c r="A650" s="286"/>
      <c r="B650" s="292"/>
      <c r="E650" s="293"/>
      <c r="F650" s="285"/>
      <c r="G650" s="272"/>
      <c r="H650" s="213"/>
    </row>
    <row r="651" spans="1:8" ht="15.75">
      <c r="A651" s="218"/>
      <c r="B651" s="292"/>
      <c r="E651" s="293"/>
      <c r="F651" s="285"/>
      <c r="G651" s="272"/>
      <c r="H651" s="213"/>
    </row>
    <row r="652" spans="1:8" ht="15.75">
      <c r="A652" s="286"/>
      <c r="B652" s="292"/>
      <c r="E652" s="293"/>
      <c r="F652" s="285"/>
      <c r="G652" s="272"/>
      <c r="H652" s="213"/>
    </row>
    <row r="653" spans="1:8" ht="15.75">
      <c r="A653" s="286"/>
      <c r="B653" s="292"/>
      <c r="E653" s="293"/>
      <c r="F653" s="285"/>
      <c r="G653" s="272"/>
      <c r="H653" s="213"/>
    </row>
    <row r="654" spans="1:8" ht="15.75">
      <c r="A654" s="218"/>
      <c r="B654" s="172"/>
      <c r="E654" s="293"/>
      <c r="F654" s="285"/>
      <c r="G654" s="272"/>
      <c r="H654" s="213"/>
    </row>
    <row r="655" spans="1:8" ht="15.75">
      <c r="A655" s="286"/>
      <c r="B655" s="292"/>
      <c r="E655" s="293"/>
      <c r="F655" s="285"/>
      <c r="G655" s="272"/>
      <c r="H655" s="213"/>
    </row>
    <row r="656" spans="1:8" ht="15.75">
      <c r="A656" s="286"/>
      <c r="B656" s="292"/>
      <c r="E656" s="293"/>
      <c r="F656" s="285"/>
      <c r="G656" s="272"/>
      <c r="H656" s="213"/>
    </row>
    <row r="657" spans="1:8" ht="15.75">
      <c r="A657" s="286"/>
      <c r="B657" s="292"/>
      <c r="E657" s="293"/>
      <c r="F657" s="285"/>
      <c r="G657" s="272"/>
      <c r="H657" s="213"/>
    </row>
    <row r="658" spans="1:8" ht="15.75">
      <c r="A658" s="218"/>
      <c r="B658" s="292"/>
      <c r="E658" s="293"/>
      <c r="F658" s="285"/>
      <c r="G658" s="272"/>
      <c r="H658" s="213"/>
    </row>
    <row r="659" spans="1:8" ht="15.75">
      <c r="A659" s="286"/>
      <c r="B659" s="292"/>
      <c r="E659" s="293"/>
      <c r="F659" s="285"/>
      <c r="G659" s="272"/>
      <c r="H659" s="213"/>
    </row>
    <row r="660" spans="1:8" ht="15.75">
      <c r="A660" s="286"/>
      <c r="B660" s="292"/>
      <c r="E660" s="293"/>
      <c r="F660" s="285"/>
      <c r="G660" s="272"/>
      <c r="H660" s="213"/>
    </row>
    <row r="661" spans="1:8" ht="15.75">
      <c r="A661" s="218"/>
      <c r="B661" s="292"/>
      <c r="E661" s="293"/>
      <c r="F661" s="285"/>
      <c r="G661" s="272"/>
      <c r="H661" s="213"/>
    </row>
    <row r="662" spans="1:8" ht="15.75">
      <c r="A662" s="286"/>
      <c r="B662" s="292"/>
      <c r="E662" s="293"/>
      <c r="F662" s="285"/>
      <c r="G662" s="272"/>
      <c r="H662" s="213"/>
    </row>
    <row r="663" spans="1:8" ht="15.75">
      <c r="A663" s="286"/>
      <c r="B663" s="292"/>
      <c r="E663" s="293"/>
      <c r="F663" s="285"/>
      <c r="G663" s="272"/>
      <c r="H663" s="213"/>
    </row>
    <row r="664" spans="1:8" ht="15.75">
      <c r="A664" s="218"/>
      <c r="C664" s="288"/>
      <c r="D664" s="289"/>
      <c r="E664" s="290"/>
      <c r="F664" s="285"/>
      <c r="G664" s="272"/>
      <c r="H664" s="213"/>
    </row>
    <row r="665" spans="1:8" ht="15.75">
      <c r="A665" s="286"/>
      <c r="C665" s="288"/>
      <c r="D665" s="289"/>
      <c r="E665" s="290"/>
      <c r="F665" s="285"/>
      <c r="G665" s="272"/>
      <c r="H665" s="213"/>
    </row>
    <row r="666" spans="1:8" ht="15.75">
      <c r="A666" s="286"/>
      <c r="C666" s="288"/>
      <c r="D666" s="289"/>
      <c r="E666" s="290"/>
      <c r="F666" s="285"/>
      <c r="G666" s="272"/>
      <c r="H666" s="213"/>
    </row>
    <row r="667" spans="1:8" ht="15.75">
      <c r="A667" s="286"/>
      <c r="C667" s="288"/>
      <c r="D667" s="289"/>
      <c r="E667" s="290"/>
      <c r="F667" s="285"/>
      <c r="G667" s="272"/>
      <c r="H667" s="213"/>
    </row>
    <row r="668" spans="1:8" ht="15.75">
      <c r="A668" s="218"/>
      <c r="C668" s="288"/>
      <c r="D668" s="289"/>
      <c r="E668" s="290"/>
      <c r="F668" s="285"/>
      <c r="G668" s="272"/>
      <c r="H668" s="213"/>
    </row>
    <row r="669" spans="1:8" ht="15.75">
      <c r="A669" s="286"/>
      <c r="D669" s="289"/>
      <c r="E669" s="290"/>
      <c r="F669" s="285"/>
      <c r="G669" s="272"/>
      <c r="H669" s="213"/>
    </row>
    <row r="670" spans="1:8" ht="15.75">
      <c r="A670" s="286"/>
      <c r="B670" s="288"/>
      <c r="C670" s="288"/>
      <c r="D670" s="289"/>
      <c r="E670" s="290"/>
      <c r="F670" s="285"/>
      <c r="G670" s="272"/>
      <c r="H670" s="213"/>
    </row>
    <row r="671" spans="1:8" ht="15.75">
      <c r="A671" s="218"/>
      <c r="B671" s="288"/>
      <c r="C671" s="288"/>
      <c r="D671" s="289"/>
      <c r="E671" s="290"/>
      <c r="F671" s="285"/>
      <c r="G671" s="272"/>
      <c r="H671" s="213"/>
    </row>
    <row r="672" spans="1:8" ht="15.75">
      <c r="A672" s="286"/>
      <c r="B672" s="288"/>
      <c r="C672" s="288"/>
      <c r="D672" s="289"/>
      <c r="E672" s="290"/>
      <c r="F672" s="285"/>
      <c r="G672" s="272"/>
      <c r="H672" s="213"/>
    </row>
    <row r="673" spans="1:8" ht="15.75">
      <c r="A673" s="286"/>
      <c r="B673" s="288"/>
      <c r="C673" s="288"/>
      <c r="D673" s="289"/>
      <c r="E673" s="290"/>
      <c r="F673" s="285"/>
      <c r="G673" s="272"/>
      <c r="H673" s="213"/>
    </row>
    <row r="674" spans="1:8" ht="15.75">
      <c r="A674" s="218"/>
      <c r="B674" s="294"/>
      <c r="C674" s="288"/>
      <c r="D674" s="289"/>
      <c r="E674" s="290"/>
      <c r="F674" s="285"/>
      <c r="G674" s="272"/>
      <c r="H674" s="213"/>
    </row>
    <row r="675" spans="1:8" ht="15.75">
      <c r="A675" s="286"/>
      <c r="B675" s="294"/>
      <c r="C675" s="288"/>
      <c r="D675" s="289"/>
      <c r="E675" s="290"/>
      <c r="F675" s="285"/>
      <c r="G675" s="272"/>
      <c r="H675" s="213"/>
    </row>
    <row r="676" spans="1:8" ht="15.75">
      <c r="A676" s="286"/>
      <c r="B676" s="294"/>
      <c r="C676" s="288"/>
      <c r="D676" s="289"/>
      <c r="E676" s="290"/>
      <c r="F676" s="285"/>
      <c r="G676" s="272"/>
      <c r="H676" s="213"/>
    </row>
    <row r="677" spans="1:8" ht="15.75">
      <c r="A677" s="286"/>
      <c r="B677" s="292"/>
      <c r="E677" s="293"/>
      <c r="F677" s="285"/>
      <c r="G677" s="272"/>
      <c r="H677" s="213"/>
    </row>
    <row r="678" spans="1:8" ht="15.75">
      <c r="A678" s="286"/>
      <c r="B678" s="295"/>
      <c r="E678" s="293"/>
      <c r="F678" s="285"/>
      <c r="G678" s="272"/>
      <c r="H678" s="213"/>
    </row>
    <row r="679" spans="1:8" ht="15.75">
      <c r="A679" s="286"/>
      <c r="B679" s="295"/>
      <c r="E679" s="293"/>
      <c r="F679" s="285"/>
      <c r="G679" s="272"/>
      <c r="H679" s="213"/>
    </row>
    <row r="680" spans="1:8" ht="15.75">
      <c r="A680" s="286"/>
      <c r="B680" s="291"/>
      <c r="E680" s="293"/>
      <c r="F680" s="285"/>
      <c r="G680" s="272"/>
      <c r="H680" s="213"/>
    </row>
    <row r="681" spans="1:8" ht="15.75">
      <c r="A681" s="286"/>
      <c r="B681" s="292"/>
      <c r="E681" s="293"/>
      <c r="F681" s="285"/>
      <c r="G681" s="272"/>
      <c r="H681" s="213"/>
    </row>
    <row r="682" spans="1:8" ht="15.75">
      <c r="A682" s="218"/>
      <c r="B682" s="292"/>
      <c r="E682" s="293"/>
      <c r="F682" s="285"/>
      <c r="G682" s="272"/>
      <c r="H682" s="213"/>
    </row>
    <row r="683" spans="1:8" ht="15.75">
      <c r="A683" s="286"/>
      <c r="B683" s="292"/>
      <c r="E683" s="293"/>
      <c r="F683" s="285"/>
      <c r="G683" s="272"/>
      <c r="H683" s="213"/>
    </row>
    <row r="684" spans="1:8" ht="15.75">
      <c r="A684" s="286"/>
      <c r="B684" s="292"/>
      <c r="E684" s="293"/>
      <c r="F684" s="285"/>
      <c r="G684" s="272"/>
      <c r="H684" s="213"/>
    </row>
    <row r="685" spans="1:8" ht="15.75">
      <c r="A685" s="218"/>
      <c r="B685" s="292"/>
      <c r="E685" s="293"/>
      <c r="F685" s="285"/>
      <c r="G685" s="272"/>
      <c r="H685" s="213"/>
    </row>
    <row r="686" spans="1:8" ht="15.75">
      <c r="A686" s="286"/>
      <c r="B686" s="172"/>
      <c r="E686" s="293"/>
      <c r="F686" s="285"/>
      <c r="G686" s="272"/>
      <c r="H686" s="213"/>
    </row>
    <row r="687" spans="1:8" ht="15.75">
      <c r="A687" s="286"/>
      <c r="B687" s="172"/>
      <c r="E687" s="293"/>
      <c r="F687" s="285"/>
      <c r="G687" s="272"/>
      <c r="H687" s="213"/>
    </row>
    <row r="688" spans="1:8" ht="15.75">
      <c r="A688" s="218"/>
      <c r="B688" s="292"/>
      <c r="E688" s="293"/>
      <c r="F688" s="285"/>
      <c r="G688" s="272"/>
      <c r="H688" s="213"/>
    </row>
    <row r="689" spans="1:8" ht="15.75">
      <c r="A689" s="286"/>
      <c r="B689" s="292"/>
      <c r="E689" s="293"/>
      <c r="F689" s="285"/>
      <c r="G689" s="272"/>
      <c r="H689" s="213"/>
    </row>
    <row r="690" spans="1:8" ht="15.75">
      <c r="A690" s="286"/>
      <c r="B690" s="292"/>
      <c r="E690" s="293"/>
      <c r="F690" s="285"/>
      <c r="G690" s="272"/>
      <c r="H690" s="213"/>
    </row>
    <row r="691" spans="1:8" ht="15.75">
      <c r="A691" s="286"/>
      <c r="B691" s="292"/>
      <c r="E691" s="293"/>
      <c r="F691" s="285"/>
      <c r="G691" s="272"/>
      <c r="H691" s="213"/>
    </row>
    <row r="692" spans="1:8" ht="15.75">
      <c r="A692" s="218"/>
      <c r="B692" s="292"/>
      <c r="E692" s="293"/>
      <c r="F692" s="285"/>
      <c r="G692" s="272"/>
      <c r="H692" s="213"/>
    </row>
    <row r="693" spans="1:8" ht="15.75">
      <c r="A693" s="286"/>
      <c r="B693" s="292"/>
      <c r="E693" s="293"/>
      <c r="F693" s="285"/>
      <c r="G693" s="272"/>
      <c r="H693" s="213"/>
    </row>
    <row r="694" spans="1:8" ht="15.75">
      <c r="A694" s="286"/>
      <c r="B694" s="292"/>
      <c r="E694" s="293"/>
      <c r="F694" s="285"/>
      <c r="G694" s="272"/>
      <c r="H694" s="213"/>
    </row>
    <row r="695" spans="1:8" ht="15.75">
      <c r="A695" s="286"/>
      <c r="C695" s="288"/>
      <c r="D695" s="289"/>
      <c r="E695" s="290"/>
      <c r="F695" s="285"/>
      <c r="G695" s="272"/>
      <c r="H695" s="213"/>
    </row>
    <row r="696" spans="1:8" ht="15.75">
      <c r="A696" s="218"/>
      <c r="C696" s="288"/>
      <c r="D696" s="289"/>
      <c r="E696" s="290"/>
      <c r="F696" s="285"/>
      <c r="G696" s="272"/>
      <c r="H696" s="213"/>
    </row>
    <row r="697" spans="1:8" ht="15.75">
      <c r="A697" s="286"/>
      <c r="C697" s="288"/>
      <c r="D697" s="289"/>
      <c r="E697" s="290"/>
      <c r="F697" s="285"/>
      <c r="G697" s="272"/>
      <c r="H697" s="213"/>
    </row>
    <row r="698" spans="1:8" ht="15.75">
      <c r="A698" s="286"/>
      <c r="C698" s="288"/>
      <c r="D698" s="289"/>
      <c r="E698" s="290"/>
      <c r="F698" s="285"/>
      <c r="G698" s="272"/>
      <c r="H698" s="213"/>
    </row>
    <row r="699" spans="1:8" ht="15.75">
      <c r="A699" s="218"/>
      <c r="C699" s="288"/>
      <c r="D699" s="289"/>
      <c r="E699" s="290"/>
      <c r="F699" s="285"/>
      <c r="G699" s="272"/>
      <c r="H699" s="213"/>
    </row>
    <row r="700" spans="1:8" ht="15.75">
      <c r="A700" s="286"/>
      <c r="D700" s="289"/>
      <c r="E700" s="290"/>
      <c r="F700" s="285"/>
      <c r="G700" s="272"/>
      <c r="H700" s="213"/>
    </row>
    <row r="701" spans="1:8" ht="15.75">
      <c r="A701" s="286"/>
      <c r="B701" s="288"/>
      <c r="C701" s="288"/>
      <c r="D701" s="289"/>
      <c r="E701" s="290"/>
      <c r="F701" s="285"/>
      <c r="G701" s="272"/>
      <c r="H701" s="213"/>
    </row>
    <row r="702" spans="1:8" ht="15.75">
      <c r="A702" s="218"/>
      <c r="B702" s="288"/>
      <c r="C702" s="288"/>
      <c r="D702" s="289"/>
      <c r="E702" s="290"/>
      <c r="F702" s="285"/>
      <c r="G702" s="272"/>
      <c r="H702" s="213"/>
    </row>
    <row r="703" spans="1:8" ht="15.75">
      <c r="A703" s="286"/>
      <c r="B703" s="288"/>
      <c r="C703" s="288"/>
      <c r="D703" s="289"/>
      <c r="E703" s="290"/>
      <c r="F703" s="172"/>
      <c r="G703" s="172"/>
      <c r="H703" s="172"/>
    </row>
    <row r="704" spans="1:8" ht="15.75">
      <c r="A704" s="286"/>
      <c r="B704" s="288"/>
      <c r="C704" s="288"/>
      <c r="D704" s="289"/>
      <c r="E704" s="290"/>
      <c r="F704" s="285"/>
      <c r="G704" s="272"/>
      <c r="H704" s="213"/>
    </row>
    <row r="705" spans="1:8" ht="15.75">
      <c r="A705" s="286"/>
      <c r="B705" s="294"/>
      <c r="C705" s="288"/>
      <c r="D705" s="289"/>
      <c r="E705" s="290"/>
      <c r="F705" s="298"/>
      <c r="G705" s="213"/>
      <c r="H705" s="172"/>
    </row>
    <row r="706" spans="1:8" ht="15.75">
      <c r="A706" s="218"/>
      <c r="B706" s="294"/>
      <c r="C706" s="288"/>
      <c r="D706" s="289"/>
      <c r="E706" s="290"/>
      <c r="F706" s="298"/>
      <c r="G706" s="213"/>
      <c r="H706" s="172"/>
    </row>
    <row r="707" spans="1:8" ht="15.75">
      <c r="A707" s="286"/>
      <c r="B707" s="294"/>
      <c r="C707" s="288"/>
      <c r="D707" s="289"/>
      <c r="E707" s="290"/>
      <c r="F707" s="298"/>
      <c r="G707" s="213"/>
      <c r="H707" s="172"/>
    </row>
    <row r="708" spans="1:8" ht="15.75">
      <c r="A708" s="286"/>
      <c r="B708" s="291"/>
      <c r="E708" s="287"/>
      <c r="F708" s="298"/>
      <c r="G708" s="213"/>
      <c r="H708" s="172"/>
    </row>
    <row r="709" spans="1:8" ht="15.75">
      <c r="A709" s="218"/>
      <c r="B709" s="295"/>
      <c r="E709" s="287"/>
      <c r="F709" s="298"/>
      <c r="G709" s="213"/>
      <c r="H709" s="172"/>
    </row>
    <row r="710" spans="1:8" ht="15.75">
      <c r="A710" s="286"/>
      <c r="F710" s="298"/>
      <c r="G710" s="213"/>
      <c r="H710" s="172"/>
    </row>
    <row r="711" spans="1:8" ht="15.75">
      <c r="A711" s="286"/>
      <c r="F711" s="298"/>
      <c r="G711" s="213"/>
      <c r="H711" s="172"/>
    </row>
    <row r="712" spans="1:8" ht="15.75">
      <c r="A712" s="286"/>
      <c r="B712" s="291"/>
      <c r="F712" s="298"/>
      <c r="G712" s="213"/>
      <c r="H712" s="172"/>
    </row>
    <row r="713" spans="1:8" ht="15.75">
      <c r="A713" s="286"/>
      <c r="E713" s="293"/>
      <c r="F713" s="298"/>
      <c r="G713" s="213"/>
      <c r="H713" s="172"/>
    </row>
    <row r="714" spans="1:8" ht="15.75">
      <c r="A714" s="218"/>
      <c r="E714" s="293"/>
      <c r="F714" s="298"/>
      <c r="G714" s="213"/>
      <c r="H714" s="172"/>
    </row>
    <row r="715" spans="1:8" ht="15.75">
      <c r="A715" s="286"/>
      <c r="B715" s="292"/>
      <c r="E715" s="293"/>
      <c r="F715" s="298"/>
      <c r="G715" s="213"/>
      <c r="H715" s="172"/>
    </row>
    <row r="716" spans="1:8" ht="15.75">
      <c r="A716" s="286"/>
      <c r="B716" s="292"/>
      <c r="E716" s="293"/>
      <c r="F716" s="298"/>
      <c r="G716" s="213"/>
      <c r="H716" s="172"/>
    </row>
    <row r="717" spans="1:8" ht="15.75">
      <c r="A717" s="218"/>
      <c r="B717" s="292"/>
      <c r="E717" s="293"/>
      <c r="F717" s="298"/>
      <c r="G717" s="213"/>
      <c r="H717" s="172"/>
    </row>
    <row r="718" spans="1:8" ht="15.75">
      <c r="A718" s="286"/>
      <c r="B718" s="292"/>
      <c r="E718" s="293"/>
      <c r="F718" s="298"/>
      <c r="G718" s="213"/>
      <c r="H718" s="172"/>
    </row>
    <row r="719" spans="1:8" ht="15.75">
      <c r="A719" s="286"/>
      <c r="C719" s="288"/>
      <c r="D719" s="289"/>
      <c r="E719" s="290"/>
      <c r="F719" s="298"/>
      <c r="G719" s="213"/>
      <c r="H719" s="172"/>
    </row>
    <row r="720" spans="1:8" ht="15.75">
      <c r="A720" s="218"/>
      <c r="C720" s="288"/>
      <c r="D720" s="289"/>
      <c r="E720" s="290"/>
      <c r="F720" s="298"/>
      <c r="G720" s="213"/>
      <c r="H720" s="172"/>
    </row>
    <row r="721" spans="1:8" ht="15.75">
      <c r="A721" s="286"/>
      <c r="C721" s="288"/>
      <c r="D721" s="289"/>
      <c r="E721" s="290"/>
      <c r="F721" s="298"/>
      <c r="G721" s="213"/>
      <c r="H721" s="172"/>
    </row>
    <row r="722" spans="1:8" ht="15.75">
      <c r="A722" s="286"/>
      <c r="C722" s="288"/>
      <c r="D722" s="289"/>
      <c r="E722" s="290"/>
      <c r="F722" s="298"/>
      <c r="G722" s="213"/>
      <c r="H722" s="172"/>
    </row>
    <row r="723" spans="1:8" ht="15.75">
      <c r="A723" s="218"/>
      <c r="C723" s="288"/>
      <c r="D723" s="289"/>
      <c r="E723" s="290"/>
      <c r="F723" s="298"/>
      <c r="G723" s="213"/>
      <c r="H723" s="172"/>
    </row>
    <row r="724" spans="1:8" ht="15.75">
      <c r="A724" s="286"/>
      <c r="D724" s="289"/>
      <c r="E724" s="290"/>
      <c r="F724" s="298"/>
      <c r="G724" s="213"/>
      <c r="H724" s="172"/>
    </row>
    <row r="725" spans="1:8" ht="15.75">
      <c r="A725" s="286"/>
      <c r="B725" s="288"/>
      <c r="C725" s="288"/>
      <c r="D725" s="289"/>
      <c r="E725" s="290"/>
      <c r="F725" s="298"/>
      <c r="G725" s="213"/>
      <c r="H725" s="172"/>
    </row>
    <row r="726" spans="1:8" ht="15.75">
      <c r="A726" s="218"/>
      <c r="B726" s="288"/>
      <c r="C726" s="288"/>
      <c r="D726" s="289"/>
      <c r="E726" s="290"/>
      <c r="F726" s="298"/>
      <c r="G726" s="213"/>
      <c r="H726" s="172"/>
    </row>
    <row r="727" spans="1:8" ht="15.75">
      <c r="A727" s="286"/>
      <c r="B727" s="288"/>
      <c r="C727" s="288"/>
      <c r="D727" s="289"/>
      <c r="E727" s="290"/>
      <c r="F727" s="298"/>
      <c r="G727" s="213"/>
      <c r="H727" s="172"/>
    </row>
    <row r="728" spans="1:8" ht="15.75">
      <c r="A728" s="286"/>
      <c r="B728" s="288"/>
      <c r="C728" s="288"/>
      <c r="D728" s="289"/>
      <c r="E728" s="290"/>
      <c r="F728" s="298"/>
      <c r="G728" s="213"/>
      <c r="H728" s="172"/>
    </row>
    <row r="729" spans="1:8" ht="15.75">
      <c r="A729" s="218"/>
      <c r="B729" s="294"/>
      <c r="C729" s="288"/>
      <c r="D729" s="289"/>
      <c r="E729" s="290"/>
      <c r="F729" s="298"/>
      <c r="G729" s="213"/>
      <c r="H729" s="172"/>
    </row>
    <row r="730" spans="1:8" ht="15.75">
      <c r="A730" s="286"/>
      <c r="B730" s="294"/>
      <c r="C730" s="288"/>
      <c r="D730" s="289"/>
      <c r="E730" s="290"/>
      <c r="F730" s="298"/>
      <c r="G730" s="213"/>
      <c r="H730" s="172"/>
    </row>
    <row r="731" spans="1:8" ht="15.75">
      <c r="A731" s="286"/>
      <c r="B731" s="294"/>
      <c r="C731" s="288"/>
      <c r="D731" s="289"/>
      <c r="E731" s="290"/>
      <c r="F731" s="298"/>
      <c r="G731" s="213"/>
      <c r="H731" s="172"/>
    </row>
    <row r="732" spans="1:8" ht="15.75">
      <c r="A732" s="286"/>
      <c r="B732" s="291"/>
      <c r="E732" s="287"/>
      <c r="F732" s="298"/>
      <c r="G732" s="213"/>
      <c r="H732" s="172"/>
    </row>
    <row r="733" spans="1:8" ht="15.75">
      <c r="A733" s="286"/>
      <c r="B733" s="295"/>
      <c r="E733" s="287"/>
      <c r="F733" s="298"/>
      <c r="G733" s="213"/>
      <c r="H733" s="172"/>
    </row>
    <row r="734" spans="1:8" ht="15.75">
      <c r="A734" s="286"/>
      <c r="F734" s="298"/>
      <c r="G734" s="213"/>
      <c r="H734" s="172"/>
    </row>
    <row r="735" spans="1:8" ht="15.75">
      <c r="A735" s="286"/>
      <c r="F735" s="298"/>
      <c r="G735" s="213"/>
      <c r="H735" s="172"/>
    </row>
    <row r="736" spans="1:8" ht="15.75">
      <c r="A736" s="286"/>
      <c r="B736" s="291"/>
      <c r="F736" s="298"/>
      <c r="G736" s="213"/>
      <c r="H736" s="172"/>
    </row>
    <row r="737" spans="1:8" ht="15.75">
      <c r="A737" s="286"/>
      <c r="E737" s="293"/>
      <c r="F737" s="298"/>
      <c r="G737" s="213"/>
      <c r="H737" s="172"/>
    </row>
    <row r="738" spans="1:8" ht="15.75">
      <c r="A738" s="218"/>
      <c r="E738" s="293"/>
      <c r="F738" s="298"/>
      <c r="G738" s="213"/>
      <c r="H738" s="172"/>
    </row>
    <row r="739" spans="1:8" ht="15.75">
      <c r="A739" s="286"/>
      <c r="B739" s="292"/>
      <c r="E739" s="293"/>
      <c r="F739" s="298"/>
      <c r="G739" s="213"/>
      <c r="H739" s="172"/>
    </row>
    <row r="740" spans="1:8" ht="15.75">
      <c r="A740" s="286"/>
      <c r="B740" s="292"/>
      <c r="E740" s="293"/>
      <c r="F740" s="298"/>
      <c r="G740" s="213"/>
      <c r="H740" s="172"/>
    </row>
    <row r="741" spans="1:8" ht="15.75">
      <c r="A741" s="218"/>
      <c r="B741" s="292"/>
      <c r="E741" s="293"/>
      <c r="F741" s="298"/>
      <c r="G741" s="213"/>
      <c r="H741" s="172"/>
    </row>
    <row r="742" spans="1:8" ht="15.75">
      <c r="A742" s="286"/>
      <c r="C742" s="288"/>
      <c r="D742" s="289"/>
      <c r="E742" s="290"/>
      <c r="F742" s="298"/>
      <c r="G742" s="213"/>
      <c r="H742" s="172"/>
    </row>
    <row r="743" spans="1:8" ht="15.75">
      <c r="A743" s="286"/>
      <c r="C743" s="288"/>
      <c r="D743" s="289"/>
      <c r="E743" s="290"/>
      <c r="F743" s="298"/>
      <c r="G743" s="213"/>
      <c r="H743" s="172"/>
    </row>
    <row r="744" spans="1:8" ht="15.75">
      <c r="A744" s="218"/>
      <c r="C744" s="288"/>
      <c r="D744" s="289"/>
      <c r="E744" s="290"/>
      <c r="F744" s="298"/>
      <c r="G744" s="213"/>
      <c r="H744" s="172"/>
    </row>
    <row r="745" spans="1:8" ht="15.75">
      <c r="A745" s="286"/>
      <c r="C745" s="288"/>
      <c r="D745" s="289"/>
      <c r="E745" s="290"/>
      <c r="F745" s="298"/>
      <c r="G745" s="213"/>
      <c r="H745" s="172"/>
    </row>
    <row r="746" spans="1:8" ht="15.75">
      <c r="A746" s="286"/>
      <c r="C746" s="288"/>
      <c r="D746" s="289"/>
      <c r="E746" s="290"/>
      <c r="F746" s="298"/>
      <c r="G746" s="213"/>
      <c r="H746" s="172"/>
    </row>
    <row r="747" spans="1:8" ht="15.75">
      <c r="A747" s="218"/>
      <c r="D747" s="289"/>
      <c r="E747" s="290"/>
      <c r="F747" s="298"/>
      <c r="G747" s="213"/>
      <c r="H747" s="172"/>
    </row>
    <row r="748" spans="1:8" ht="15.75">
      <c r="A748" s="286"/>
      <c r="B748" s="288"/>
      <c r="C748" s="288"/>
      <c r="D748" s="289"/>
      <c r="E748" s="290"/>
      <c r="F748" s="298"/>
      <c r="G748" s="213"/>
      <c r="H748" s="172"/>
    </row>
    <row r="749" spans="1:8" ht="15.75">
      <c r="A749" s="286"/>
      <c r="B749" s="288"/>
      <c r="C749" s="288"/>
      <c r="D749" s="289"/>
      <c r="E749" s="290"/>
      <c r="F749" s="298"/>
      <c r="G749" s="213"/>
      <c r="H749" s="172"/>
    </row>
    <row r="750" spans="1:8" ht="15.75">
      <c r="A750" s="218"/>
      <c r="B750" s="288"/>
      <c r="C750" s="288"/>
      <c r="D750" s="289"/>
      <c r="E750" s="290"/>
      <c r="F750" s="298"/>
      <c r="G750" s="213"/>
      <c r="H750" s="172"/>
    </row>
    <row r="751" spans="1:8" ht="15.75">
      <c r="A751" s="286"/>
      <c r="B751" s="288"/>
      <c r="C751" s="288"/>
      <c r="D751" s="289"/>
      <c r="E751" s="290"/>
      <c r="F751" s="298"/>
      <c r="G751" s="213"/>
      <c r="H751" s="172"/>
    </row>
    <row r="752" spans="1:8" ht="15.75">
      <c r="A752" s="286"/>
      <c r="B752" s="294"/>
      <c r="C752" s="288"/>
      <c r="D752" s="289"/>
      <c r="E752" s="290"/>
      <c r="F752" s="298"/>
      <c r="G752" s="213"/>
      <c r="H752" s="172"/>
    </row>
    <row r="753" spans="1:8" ht="15.75">
      <c r="A753" s="218"/>
      <c r="B753" s="294"/>
      <c r="C753" s="288"/>
      <c r="D753" s="289"/>
      <c r="E753" s="290"/>
      <c r="F753" s="298"/>
      <c r="G753" s="213"/>
      <c r="H753" s="172"/>
    </row>
    <row r="754" spans="1:8" ht="15.75">
      <c r="A754" s="286"/>
      <c r="B754" s="294"/>
      <c r="C754" s="288"/>
      <c r="D754" s="289"/>
      <c r="E754" s="290"/>
      <c r="F754" s="298"/>
      <c r="G754" s="213"/>
      <c r="H754" s="172"/>
    </row>
    <row r="755" spans="1:8" ht="15.75">
      <c r="A755" s="286"/>
      <c r="B755" s="291"/>
      <c r="E755" s="287"/>
      <c r="F755" s="298"/>
      <c r="G755" s="213"/>
      <c r="H755" s="172"/>
    </row>
    <row r="756" spans="1:8" ht="15.75">
      <c r="A756" s="286"/>
      <c r="B756" s="295"/>
      <c r="E756" s="287"/>
      <c r="F756" s="298"/>
      <c r="G756" s="213"/>
      <c r="H756" s="172"/>
    </row>
    <row r="757" spans="1:8" ht="15.75">
      <c r="A757" s="286"/>
      <c r="B757" s="295"/>
      <c r="E757" s="287"/>
      <c r="F757" s="298"/>
      <c r="G757" s="213"/>
      <c r="H757" s="172"/>
    </row>
    <row r="758" spans="1:8" ht="15.75">
      <c r="A758" s="286"/>
      <c r="B758" s="295"/>
      <c r="E758" s="287"/>
      <c r="F758" s="298"/>
      <c r="G758" s="213"/>
      <c r="H758" s="172"/>
    </row>
    <row r="759" spans="1:8" ht="15.75">
      <c r="A759" s="286"/>
      <c r="B759" s="291"/>
      <c r="F759" s="298"/>
      <c r="G759" s="213"/>
      <c r="H759" s="172"/>
    </row>
    <row r="760" spans="1:8" ht="15.75">
      <c r="A760" s="286"/>
      <c r="E760" s="293"/>
      <c r="F760" s="298"/>
      <c r="G760" s="213"/>
      <c r="H760" s="172"/>
    </row>
    <row r="761" spans="1:8" ht="15.75">
      <c r="A761" s="218"/>
      <c r="E761" s="293"/>
      <c r="F761" s="298"/>
      <c r="G761" s="213"/>
      <c r="H761" s="172"/>
    </row>
    <row r="762" spans="1:8" ht="15.75">
      <c r="A762" s="286"/>
      <c r="B762" s="292"/>
      <c r="E762" s="293"/>
      <c r="F762" s="298"/>
      <c r="G762" s="213"/>
      <c r="H762" s="172"/>
    </row>
    <row r="763" spans="1:8" ht="15.75">
      <c r="A763" s="286"/>
      <c r="B763" s="292"/>
      <c r="E763" s="293"/>
      <c r="F763" s="298"/>
      <c r="G763" s="213"/>
      <c r="H763" s="172"/>
    </row>
    <row r="764" spans="1:8" ht="15.75">
      <c r="A764" s="218"/>
      <c r="B764" s="292"/>
      <c r="E764" s="293"/>
      <c r="F764" s="298"/>
      <c r="G764" s="213"/>
      <c r="H764" s="172"/>
    </row>
    <row r="765" spans="1:8" ht="15.75">
      <c r="A765" s="286"/>
      <c r="B765" s="292"/>
      <c r="E765" s="293"/>
      <c r="F765" s="298"/>
      <c r="G765" s="213"/>
      <c r="H765" s="172"/>
    </row>
    <row r="766" spans="1:8" ht="15.75">
      <c r="A766" s="286"/>
      <c r="B766" s="292"/>
      <c r="E766" s="293"/>
      <c r="F766" s="298"/>
      <c r="G766" s="213"/>
      <c r="H766" s="172"/>
    </row>
    <row r="767" spans="1:8" ht="15.75">
      <c r="A767" s="218"/>
      <c r="C767" s="288"/>
      <c r="D767" s="289"/>
      <c r="E767" s="290"/>
      <c r="F767" s="298"/>
      <c r="G767" s="213"/>
      <c r="H767" s="172"/>
    </row>
    <row r="768" spans="1:8" ht="15.75">
      <c r="A768" s="286"/>
      <c r="C768" s="288"/>
      <c r="D768" s="289"/>
      <c r="E768" s="290"/>
      <c r="F768" s="298"/>
      <c r="G768" s="213"/>
      <c r="H768" s="172"/>
    </row>
    <row r="769" spans="1:8" ht="15.75">
      <c r="A769" s="286"/>
      <c r="C769" s="288"/>
      <c r="D769" s="289"/>
      <c r="E769" s="290"/>
      <c r="F769" s="298"/>
      <c r="G769" s="213"/>
      <c r="H769" s="172"/>
    </row>
    <row r="770" spans="1:8" ht="15.75">
      <c r="A770" s="218"/>
      <c r="C770" s="288"/>
      <c r="D770" s="289"/>
      <c r="E770" s="290"/>
      <c r="F770" s="298"/>
      <c r="G770" s="213"/>
      <c r="H770" s="172"/>
    </row>
    <row r="771" spans="1:8" ht="15.75">
      <c r="A771" s="286"/>
      <c r="C771" s="288"/>
      <c r="D771" s="289"/>
      <c r="E771" s="290"/>
      <c r="F771" s="298"/>
      <c r="G771" s="213"/>
      <c r="H771" s="172"/>
    </row>
    <row r="772" spans="1:8" ht="15.75">
      <c r="A772" s="286"/>
      <c r="D772" s="289"/>
      <c r="E772" s="290"/>
      <c r="F772" s="298"/>
      <c r="G772" s="213"/>
      <c r="H772" s="172"/>
    </row>
    <row r="773" spans="1:8" ht="15.75">
      <c r="A773" s="218"/>
      <c r="B773" s="288"/>
      <c r="C773" s="288"/>
      <c r="D773" s="289"/>
      <c r="E773" s="290"/>
      <c r="F773" s="298"/>
      <c r="G773" s="213"/>
      <c r="H773" s="172"/>
    </row>
    <row r="774" spans="1:8" ht="15.75">
      <c r="A774" s="286"/>
      <c r="B774" s="288"/>
      <c r="C774" s="288"/>
      <c r="D774" s="289"/>
      <c r="E774" s="290"/>
      <c r="F774" s="298"/>
      <c r="G774" s="213"/>
      <c r="H774" s="172"/>
    </row>
    <row r="775" spans="1:8" ht="15.75">
      <c r="A775" s="286"/>
      <c r="B775" s="288"/>
      <c r="C775" s="288"/>
      <c r="D775" s="289"/>
      <c r="E775" s="290"/>
      <c r="F775" s="298"/>
      <c r="G775" s="213"/>
      <c r="H775" s="172"/>
    </row>
    <row r="776" spans="1:8" ht="15.75">
      <c r="A776" s="218"/>
      <c r="B776" s="288"/>
      <c r="C776" s="288"/>
      <c r="D776" s="289"/>
      <c r="E776" s="290"/>
      <c r="F776" s="298"/>
      <c r="G776" s="213"/>
      <c r="H776" s="172"/>
    </row>
    <row r="777" spans="1:8" ht="15.75">
      <c r="A777" s="286"/>
      <c r="B777" s="294"/>
      <c r="C777" s="288"/>
      <c r="D777" s="289"/>
      <c r="E777" s="290"/>
      <c r="F777" s="298"/>
      <c r="G777" s="213"/>
      <c r="H777" s="172"/>
    </row>
    <row r="778" spans="1:8" ht="15.75">
      <c r="A778" s="286"/>
      <c r="B778" s="294"/>
      <c r="C778" s="288"/>
      <c r="D778" s="289"/>
      <c r="E778" s="290"/>
      <c r="F778" s="298"/>
      <c r="G778" s="213"/>
      <c r="H778" s="172"/>
    </row>
    <row r="779" spans="1:8" ht="15.75">
      <c r="A779" s="218"/>
      <c r="B779" s="294"/>
      <c r="C779" s="288"/>
      <c r="D779" s="289"/>
      <c r="E779" s="290"/>
      <c r="F779" s="298"/>
      <c r="G779" s="213"/>
      <c r="H779" s="172"/>
    </row>
    <row r="780" spans="1:8" ht="15.75">
      <c r="A780" s="218"/>
      <c r="B780" s="291"/>
      <c r="E780" s="287"/>
      <c r="F780" s="298"/>
      <c r="G780" s="299"/>
      <c r="H780" s="172"/>
    </row>
    <row r="781" spans="1:8" ht="15.75">
      <c r="A781" s="286"/>
      <c r="B781" s="295"/>
      <c r="E781" s="287"/>
      <c r="F781" s="298"/>
      <c r="G781" s="296"/>
      <c r="H781" s="207"/>
    </row>
    <row r="782" spans="1:8" ht="15.75">
      <c r="A782" s="286"/>
      <c r="B782" s="295"/>
      <c r="E782" s="287"/>
      <c r="F782" s="298"/>
      <c r="G782" s="296"/>
      <c r="H782" s="300"/>
    </row>
    <row r="783" spans="1:8" ht="15.75">
      <c r="A783" s="286"/>
      <c r="B783" s="295"/>
      <c r="E783" s="287"/>
      <c r="F783" s="298"/>
      <c r="G783" s="296"/>
      <c r="H783" s="300"/>
    </row>
    <row r="784" spans="1:8" ht="15.75">
      <c r="A784" s="286"/>
      <c r="B784" s="291"/>
      <c r="E784" s="287"/>
      <c r="F784" s="298"/>
      <c r="G784" s="296"/>
      <c r="H784" s="300"/>
    </row>
    <row r="785" spans="1:8" ht="15.75">
      <c r="A785" s="286"/>
      <c r="B785" s="172"/>
      <c r="C785" s="172"/>
      <c r="E785" s="290"/>
      <c r="F785" s="172"/>
      <c r="G785" s="172"/>
      <c r="H785" s="300"/>
    </row>
    <row r="786" spans="1:8" ht="15.75">
      <c r="A786" s="218"/>
      <c r="B786" s="292"/>
      <c r="E786" s="290"/>
      <c r="F786" s="298"/>
      <c r="G786" s="296"/>
      <c r="H786" s="300"/>
    </row>
    <row r="787" spans="1:8" ht="15.75">
      <c r="A787" s="286"/>
      <c r="B787" s="292"/>
      <c r="E787" s="290"/>
      <c r="F787" s="298"/>
      <c r="G787" s="296"/>
      <c r="H787" s="300"/>
    </row>
    <row r="788" spans="1:8" ht="15.75">
      <c r="A788" s="286"/>
      <c r="B788" s="172"/>
      <c r="E788" s="293"/>
      <c r="F788" s="298"/>
      <c r="G788" s="296"/>
      <c r="H788" s="300"/>
    </row>
    <row r="789" spans="1:8" ht="15.75">
      <c r="A789" s="218"/>
      <c r="B789" s="172"/>
      <c r="C789" s="172"/>
      <c r="E789" s="290"/>
      <c r="F789" s="298"/>
      <c r="G789" s="296"/>
      <c r="H789" s="300"/>
    </row>
    <row r="790" spans="1:8" ht="15.75">
      <c r="A790" s="286"/>
      <c r="B790" s="292"/>
      <c r="E790" s="290"/>
      <c r="F790" s="298"/>
      <c r="G790" s="296"/>
      <c r="H790" s="300"/>
    </row>
    <row r="791" spans="1:8" ht="15.75">
      <c r="A791" s="286"/>
      <c r="B791" s="292"/>
      <c r="E791" s="290"/>
      <c r="F791" s="298"/>
      <c r="G791" s="296"/>
      <c r="H791" s="300"/>
    </row>
    <row r="792" spans="1:8" ht="15.75">
      <c r="A792" s="218"/>
      <c r="B792" s="172"/>
      <c r="E792" s="293"/>
      <c r="F792" s="298"/>
      <c r="G792" s="296"/>
      <c r="H792" s="300"/>
    </row>
    <row r="793" spans="1:8" ht="15.75">
      <c r="A793" s="286"/>
      <c r="C793" s="288"/>
      <c r="D793" s="289"/>
      <c r="E793" s="290"/>
      <c r="F793" s="298"/>
      <c r="G793" s="296"/>
      <c r="H793" s="300"/>
    </row>
    <row r="794" spans="1:8" ht="15.75">
      <c r="A794" s="286"/>
      <c r="C794" s="288"/>
      <c r="D794" s="289"/>
      <c r="E794" s="290"/>
      <c r="G794" s="296"/>
      <c r="H794" s="300"/>
    </row>
    <row r="795" spans="1:8" ht="15.75">
      <c r="A795" s="218"/>
      <c r="B795" s="292"/>
      <c r="E795" s="293"/>
      <c r="F795" s="298"/>
      <c r="G795" s="301"/>
      <c r="H795" s="172"/>
    </row>
    <row r="796" spans="1:8" ht="15.75">
      <c r="A796" s="218"/>
      <c r="B796" s="292"/>
      <c r="E796" s="293"/>
      <c r="F796" s="298"/>
      <c r="G796" s="301"/>
      <c r="H796" s="172"/>
    </row>
    <row r="797" spans="1:8" ht="15.75">
      <c r="A797" s="286"/>
      <c r="D797" s="289"/>
      <c r="E797" s="290"/>
      <c r="F797" s="172"/>
      <c r="G797" s="301"/>
      <c r="H797" s="172"/>
    </row>
    <row r="798" spans="1:8" ht="15.75">
      <c r="A798" s="286"/>
      <c r="D798" s="289"/>
      <c r="E798" s="290"/>
      <c r="F798" s="172"/>
      <c r="G798" s="301"/>
      <c r="H798" s="172"/>
    </row>
    <row r="799" spans="1:8" ht="15.75">
      <c r="A799" s="218"/>
      <c r="D799" s="289"/>
      <c r="E799" s="290"/>
      <c r="F799" s="172"/>
      <c r="G799" s="301"/>
      <c r="H799" s="172"/>
    </row>
    <row r="800" spans="1:8" ht="15.75">
      <c r="A800" s="218"/>
      <c r="B800" s="288"/>
      <c r="C800" s="288"/>
      <c r="D800" s="289"/>
      <c r="E800" s="290"/>
      <c r="F800" s="172"/>
      <c r="G800" s="301"/>
      <c r="H800" s="172"/>
    </row>
    <row r="801" spans="1:8" ht="15.75">
      <c r="A801" s="286"/>
      <c r="B801" s="292"/>
      <c r="E801" s="293"/>
      <c r="F801" s="172"/>
      <c r="G801" s="272"/>
      <c r="H801" s="213"/>
    </row>
    <row r="802" spans="1:8" ht="15.75">
      <c r="A802" s="286"/>
      <c r="C802" s="288"/>
      <c r="D802" s="289"/>
      <c r="E802" s="290"/>
      <c r="F802" s="285"/>
      <c r="G802" s="272"/>
      <c r="H802" s="213"/>
    </row>
    <row r="803" spans="1:8" ht="15.75">
      <c r="A803" s="218"/>
      <c r="C803" s="288"/>
      <c r="D803" s="289"/>
      <c r="E803" s="290"/>
      <c r="F803" s="285"/>
      <c r="G803" s="272"/>
      <c r="H803" s="213"/>
    </row>
    <row r="804" spans="1:8" ht="15.75">
      <c r="A804" s="218"/>
      <c r="C804" s="288"/>
      <c r="D804" s="289"/>
      <c r="E804" s="290"/>
      <c r="F804" s="285"/>
      <c r="G804" s="272"/>
      <c r="H804" s="213"/>
    </row>
    <row r="805" spans="1:8" ht="15.75">
      <c r="A805" s="286"/>
      <c r="C805" s="288"/>
      <c r="D805" s="289"/>
      <c r="E805" s="290"/>
      <c r="F805" s="298"/>
      <c r="G805" s="213"/>
      <c r="H805" s="172"/>
    </row>
    <row r="806" spans="1:8" ht="15.75">
      <c r="A806" s="286"/>
      <c r="C806" s="288"/>
      <c r="D806" s="289"/>
      <c r="E806" s="290"/>
      <c r="F806" s="298"/>
      <c r="G806" s="213"/>
      <c r="H806" s="172"/>
    </row>
    <row r="807" spans="1:8" ht="15.75">
      <c r="A807" s="218"/>
      <c r="D807" s="289"/>
      <c r="E807" s="290"/>
      <c r="F807" s="298"/>
      <c r="G807" s="213"/>
      <c r="H807" s="172"/>
    </row>
    <row r="808" spans="1:8" ht="15.75">
      <c r="A808" s="218"/>
      <c r="B808" s="288"/>
      <c r="C808" s="288"/>
      <c r="D808" s="289"/>
      <c r="E808" s="290"/>
      <c r="F808" s="298"/>
      <c r="G808" s="213"/>
      <c r="H808" s="172"/>
    </row>
    <row r="809" spans="1:8" ht="15.75">
      <c r="A809" s="286"/>
      <c r="B809" s="288"/>
      <c r="C809" s="288"/>
      <c r="D809" s="289"/>
      <c r="E809" s="290"/>
      <c r="F809" s="298"/>
      <c r="G809" s="213"/>
      <c r="H809" s="172"/>
    </row>
    <row r="810" spans="1:8" ht="15.75">
      <c r="A810" s="286"/>
      <c r="B810" s="288"/>
      <c r="C810" s="288"/>
      <c r="D810" s="289"/>
      <c r="E810" s="290"/>
      <c r="F810" s="298"/>
      <c r="G810" s="213"/>
      <c r="H810" s="172"/>
    </row>
    <row r="811" spans="1:8" ht="15.75">
      <c r="A811" s="218"/>
      <c r="B811" s="288"/>
      <c r="C811" s="288"/>
      <c r="D811" s="289"/>
      <c r="E811" s="290"/>
      <c r="F811" s="298"/>
      <c r="G811" s="213"/>
      <c r="H811" s="172"/>
    </row>
    <row r="812" spans="1:8" ht="15.75">
      <c r="A812" s="218"/>
      <c r="B812" s="294"/>
      <c r="C812" s="288"/>
      <c r="D812" s="289"/>
      <c r="E812" s="290"/>
      <c r="F812" s="298"/>
      <c r="G812" s="213"/>
      <c r="H812" s="172"/>
    </row>
    <row r="813" spans="1:8" ht="15.75">
      <c r="A813" s="286"/>
      <c r="B813" s="294"/>
      <c r="C813" s="288"/>
      <c r="D813" s="289"/>
      <c r="E813" s="290"/>
      <c r="F813" s="298"/>
      <c r="G813" s="213"/>
      <c r="H813" s="172"/>
    </row>
    <row r="814" spans="1:8" ht="15.75">
      <c r="A814" s="286"/>
      <c r="B814" s="294"/>
      <c r="C814" s="288"/>
      <c r="D814" s="289"/>
      <c r="E814" s="290"/>
      <c r="F814" s="298"/>
      <c r="G814" s="213"/>
      <c r="H814" s="172"/>
    </row>
    <row r="815" spans="1:8" ht="15.75">
      <c r="A815" s="286"/>
      <c r="B815" s="291"/>
      <c r="E815" s="287"/>
      <c r="F815" s="298"/>
      <c r="G815" s="213"/>
      <c r="H815" s="172"/>
    </row>
    <row r="816" spans="1:8" ht="15.75">
      <c r="A816" s="286"/>
      <c r="B816" s="295"/>
      <c r="E816" s="287"/>
      <c r="F816" s="298"/>
      <c r="G816" s="213"/>
      <c r="H816" s="172"/>
    </row>
    <row r="817" spans="1:8" ht="15.75">
      <c r="A817" s="218"/>
      <c r="B817" s="291"/>
      <c r="E817" s="287"/>
      <c r="F817" s="298"/>
      <c r="G817" s="299"/>
      <c r="H817" s="207"/>
    </row>
    <row r="818" spans="1:8" ht="15.75">
      <c r="A818" s="218"/>
      <c r="B818" s="295"/>
      <c r="E818" s="287"/>
      <c r="F818" s="298"/>
      <c r="G818" s="296"/>
      <c r="H818" s="300"/>
    </row>
    <row r="819" spans="1:8" ht="15.75">
      <c r="A819" s="286"/>
      <c r="B819" s="295"/>
      <c r="C819" s="288"/>
      <c r="D819" s="289"/>
      <c r="E819" s="290"/>
      <c r="F819" s="285"/>
      <c r="G819" s="302"/>
      <c r="H819" s="300"/>
    </row>
    <row r="820" spans="1:8" ht="15.75">
      <c r="A820" s="218"/>
      <c r="H820" s="213"/>
    </row>
    <row r="821" ht="15.75">
      <c r="A821" s="286"/>
    </row>
    <row r="822" ht="15.75">
      <c r="A822" s="286"/>
    </row>
    <row r="823" ht="15.75">
      <c r="A823" s="286"/>
    </row>
    <row r="824" ht="15.75">
      <c r="A824" s="218"/>
    </row>
    <row r="825" ht="15.75">
      <c r="A825" s="286"/>
    </row>
    <row r="826" ht="15.75">
      <c r="A826" s="286"/>
    </row>
    <row r="827" ht="15.75">
      <c r="A827" s="286"/>
    </row>
    <row r="828" ht="15.75">
      <c r="A828" s="218"/>
    </row>
    <row r="829" ht="15.75">
      <c r="A829" s="286"/>
    </row>
    <row r="836" spans="1:8" ht="15.75">
      <c r="A836" s="286"/>
      <c r="B836" s="292"/>
      <c r="E836" s="293"/>
      <c r="F836" s="285"/>
      <c r="G836" s="272"/>
      <c r="H836" s="213"/>
    </row>
    <row r="837" spans="1:8" ht="15.75">
      <c r="A837" s="286"/>
      <c r="B837" s="292"/>
      <c r="E837" s="293"/>
      <c r="F837" s="285"/>
      <c r="G837" s="272"/>
      <c r="H837" s="213"/>
    </row>
    <row r="838" spans="1:8" ht="15.75">
      <c r="A838" s="286"/>
      <c r="B838" s="292"/>
      <c r="E838" s="293"/>
      <c r="F838" s="285"/>
      <c r="G838" s="272"/>
      <c r="H838" s="213"/>
    </row>
    <row r="839" spans="1:8" ht="15.75">
      <c r="A839" s="218"/>
      <c r="B839" s="292"/>
      <c r="E839" s="293"/>
      <c r="F839" s="285"/>
      <c r="G839" s="272"/>
      <c r="H839" s="213"/>
    </row>
    <row r="840" spans="1:8" ht="15.75">
      <c r="A840" s="286"/>
      <c r="B840" s="292"/>
      <c r="E840" s="293"/>
      <c r="F840" s="285"/>
      <c r="G840" s="272"/>
      <c r="H840" s="213"/>
    </row>
    <row r="841" spans="1:8" ht="15.75">
      <c r="A841" s="218"/>
      <c r="B841" s="172"/>
      <c r="C841" s="172"/>
      <c r="D841" s="218"/>
      <c r="E841" s="218"/>
      <c r="F841" s="172"/>
      <c r="G841" s="272"/>
      <c r="H841" s="213"/>
    </row>
    <row r="842" spans="1:8" ht="15.75">
      <c r="A842" s="286"/>
      <c r="B842" s="172"/>
      <c r="C842" s="172"/>
      <c r="D842" s="218"/>
      <c r="E842" s="218"/>
      <c r="F842" s="172"/>
      <c r="G842" s="272"/>
      <c r="H842" s="213"/>
    </row>
    <row r="843" spans="1:8" ht="15.75">
      <c r="A843" s="286"/>
      <c r="B843" s="172"/>
      <c r="C843" s="172"/>
      <c r="D843" s="218"/>
      <c r="E843" s="218"/>
      <c r="F843" s="172"/>
      <c r="G843" s="272"/>
      <c r="H843" s="213"/>
    </row>
    <row r="844" spans="1:8" ht="15.75">
      <c r="A844" s="286"/>
      <c r="B844" s="172"/>
      <c r="C844" s="172"/>
      <c r="D844" s="218"/>
      <c r="E844" s="218"/>
      <c r="F844" s="172"/>
      <c r="G844" s="272"/>
      <c r="H844" s="213"/>
    </row>
    <row r="845" spans="1:8" ht="15.75">
      <c r="A845" s="218"/>
      <c r="B845" s="292"/>
      <c r="E845" s="293"/>
      <c r="F845" s="285"/>
      <c r="G845" s="272"/>
      <c r="H845" s="213"/>
    </row>
    <row r="846" spans="1:8" ht="15.75">
      <c r="A846" s="286"/>
      <c r="B846" s="292"/>
      <c r="E846" s="293"/>
      <c r="F846" s="285"/>
      <c r="G846" s="272"/>
      <c r="H846" s="213"/>
    </row>
    <row r="847" spans="1:8" ht="15.75">
      <c r="A847" s="286"/>
      <c r="B847" s="172"/>
      <c r="C847" s="172"/>
      <c r="E847" s="293"/>
      <c r="F847" s="285"/>
      <c r="G847" s="272"/>
      <c r="H847" s="213"/>
    </row>
    <row r="848" spans="1:8" ht="15.75">
      <c r="A848" s="286"/>
      <c r="B848" s="292"/>
      <c r="E848" s="293"/>
      <c r="F848" s="285"/>
      <c r="G848" s="272"/>
      <c r="H848" s="213"/>
    </row>
    <row r="849" spans="1:8" ht="15.75">
      <c r="A849" s="218"/>
      <c r="B849" s="172"/>
      <c r="C849" s="172"/>
      <c r="E849" s="293"/>
      <c r="F849" s="285"/>
      <c r="G849" s="272"/>
      <c r="H849" s="213"/>
    </row>
    <row r="850" spans="1:8" ht="15.75">
      <c r="A850" s="286"/>
      <c r="B850" s="292"/>
      <c r="E850" s="293"/>
      <c r="F850" s="285"/>
      <c r="G850" s="272"/>
      <c r="H850" s="213"/>
    </row>
    <row r="851" spans="1:8" ht="15.75">
      <c r="A851" s="218"/>
      <c r="B851" s="292"/>
      <c r="E851" s="293"/>
      <c r="F851" s="285"/>
      <c r="G851" s="272"/>
      <c r="H851" s="213"/>
    </row>
    <row r="852" spans="1:8" ht="15.75">
      <c r="A852" s="286"/>
      <c r="B852" s="292"/>
      <c r="E852" s="293"/>
      <c r="F852" s="285"/>
      <c r="G852" s="272"/>
      <c r="H852" s="213"/>
    </row>
    <row r="853" spans="1:8" ht="15.75">
      <c r="A853" s="218"/>
      <c r="C853" s="288"/>
      <c r="D853" s="289"/>
      <c r="E853" s="290"/>
      <c r="F853" s="298"/>
      <c r="G853" s="213"/>
      <c r="H853" s="172"/>
    </row>
    <row r="854" spans="1:8" ht="15.75">
      <c r="A854" s="286"/>
      <c r="C854" s="288"/>
      <c r="D854" s="289"/>
      <c r="E854" s="290"/>
      <c r="F854" s="298"/>
      <c r="G854" s="213"/>
      <c r="H854" s="172"/>
    </row>
    <row r="855" spans="1:8" ht="15.75">
      <c r="A855" s="218"/>
      <c r="C855" s="288"/>
      <c r="D855" s="289"/>
      <c r="E855" s="290"/>
      <c r="F855" s="298"/>
      <c r="G855" s="213"/>
      <c r="H855" s="172"/>
    </row>
    <row r="856" spans="1:8" ht="15.75">
      <c r="A856" s="286"/>
      <c r="C856" s="288"/>
      <c r="D856" s="289"/>
      <c r="E856" s="290"/>
      <c r="F856" s="298"/>
      <c r="G856" s="213"/>
      <c r="H856" s="172"/>
    </row>
    <row r="857" spans="1:8" ht="15.75">
      <c r="A857" s="218"/>
      <c r="C857" s="288"/>
      <c r="D857" s="289"/>
      <c r="E857" s="290"/>
      <c r="F857" s="298"/>
      <c r="G857" s="213"/>
      <c r="H857" s="172"/>
    </row>
    <row r="858" spans="1:8" ht="15.75">
      <c r="A858" s="286"/>
      <c r="D858" s="289"/>
      <c r="E858" s="290"/>
      <c r="F858" s="298"/>
      <c r="G858" s="213"/>
      <c r="H858" s="172"/>
    </row>
    <row r="859" spans="1:8" ht="15.75">
      <c r="A859" s="218"/>
      <c r="B859" s="288"/>
      <c r="C859" s="288"/>
      <c r="D859" s="289"/>
      <c r="E859" s="290"/>
      <c r="F859" s="298"/>
      <c r="G859" s="213"/>
      <c r="H859" s="172"/>
    </row>
    <row r="860" spans="1:8" ht="15.75">
      <c r="A860" s="286"/>
      <c r="B860" s="288"/>
      <c r="C860" s="288"/>
      <c r="D860" s="289"/>
      <c r="E860" s="290"/>
      <c r="F860" s="298"/>
      <c r="G860" s="213"/>
      <c r="H860" s="172"/>
    </row>
    <row r="861" spans="1:8" ht="15.75">
      <c r="A861" s="218"/>
      <c r="B861" s="288"/>
      <c r="C861" s="288"/>
      <c r="D861" s="289"/>
      <c r="E861" s="290"/>
      <c r="F861" s="298"/>
      <c r="G861" s="213"/>
      <c r="H861" s="172"/>
    </row>
    <row r="862" spans="1:8" ht="15.75">
      <c r="A862" s="286"/>
      <c r="B862" s="288"/>
      <c r="C862" s="288"/>
      <c r="D862" s="289"/>
      <c r="E862" s="290"/>
      <c r="F862" s="298"/>
      <c r="G862" s="213"/>
      <c r="H862" s="172"/>
    </row>
    <row r="863" spans="1:8" ht="15.75">
      <c r="A863" s="218"/>
      <c r="B863" s="294"/>
      <c r="C863" s="288"/>
      <c r="D863" s="289"/>
      <c r="E863" s="290"/>
      <c r="F863" s="298"/>
      <c r="G863" s="213"/>
      <c r="H863" s="172"/>
    </row>
    <row r="864" spans="1:8" ht="15.75">
      <c r="A864" s="286"/>
      <c r="B864" s="294"/>
      <c r="C864" s="288"/>
      <c r="D864" s="289"/>
      <c r="E864" s="290"/>
      <c r="F864" s="298"/>
      <c r="G864" s="213"/>
      <c r="H864" s="172"/>
    </row>
    <row r="865" spans="1:8" ht="15.75">
      <c r="A865" s="218"/>
      <c r="B865" s="294"/>
      <c r="C865" s="288"/>
      <c r="D865" s="289"/>
      <c r="E865" s="290"/>
      <c r="F865" s="298"/>
      <c r="G865" s="213"/>
      <c r="H865" s="172"/>
    </row>
    <row r="866" spans="1:8" ht="15.75">
      <c r="A866" s="286"/>
      <c r="B866" s="291"/>
      <c r="E866" s="287"/>
      <c r="F866" s="298"/>
      <c r="G866" s="299"/>
      <c r="H866" s="207"/>
    </row>
    <row r="867" spans="1:8" ht="15.75">
      <c r="A867" s="286"/>
      <c r="B867" s="295"/>
      <c r="E867" s="287"/>
      <c r="F867" s="298"/>
      <c r="G867" s="296"/>
      <c r="H867" s="300"/>
    </row>
    <row r="868" spans="1:8" ht="15.75">
      <c r="A868" s="218"/>
      <c r="B868" s="172"/>
      <c r="C868" s="172"/>
      <c r="D868" s="172"/>
      <c r="E868" s="218"/>
      <c r="F868" s="172"/>
      <c r="G868" s="301"/>
      <c r="H868" s="172"/>
    </row>
    <row r="869" spans="1:8" ht="15.75">
      <c r="A869" s="286"/>
      <c r="B869" s="172"/>
      <c r="C869" s="172"/>
      <c r="D869" s="218"/>
      <c r="E869" s="218"/>
      <c r="F869" s="172"/>
      <c r="G869" s="172"/>
      <c r="H869" s="172"/>
    </row>
    <row r="870" spans="1:8" ht="15.75">
      <c r="A870" s="286"/>
      <c r="B870" s="291"/>
      <c r="C870" s="172"/>
      <c r="D870" s="218"/>
      <c r="E870" s="218"/>
      <c r="F870" s="172"/>
      <c r="G870" s="172"/>
      <c r="H870" s="172"/>
    </row>
    <row r="871" spans="1:8" ht="15.75">
      <c r="A871" s="286"/>
      <c r="B871" s="230"/>
      <c r="C871" s="172"/>
      <c r="D871" s="218"/>
      <c r="E871" s="218"/>
      <c r="F871" s="285"/>
      <c r="G871" s="272"/>
      <c r="H871" s="213"/>
    </row>
    <row r="872" spans="1:8" ht="15.75">
      <c r="A872" s="218"/>
      <c r="B872" s="230"/>
      <c r="C872" s="172"/>
      <c r="D872" s="218"/>
      <c r="E872" s="218"/>
      <c r="F872" s="285"/>
      <c r="G872" s="272"/>
      <c r="H872" s="213"/>
    </row>
    <row r="873" spans="1:8" ht="15.75">
      <c r="A873" s="286"/>
      <c r="B873" s="230"/>
      <c r="C873" s="172"/>
      <c r="D873" s="218"/>
      <c r="E873" s="218"/>
      <c r="F873" s="285"/>
      <c r="G873" s="272"/>
      <c r="H873" s="213"/>
    </row>
    <row r="874" spans="1:8" ht="15.75">
      <c r="A874" s="218"/>
      <c r="B874" s="172"/>
      <c r="C874" s="172"/>
      <c r="D874" s="218"/>
      <c r="E874" s="218"/>
      <c r="F874" s="285"/>
      <c r="G874" s="272"/>
      <c r="H874" s="213"/>
    </row>
    <row r="875" spans="1:8" ht="15.75">
      <c r="A875" s="286"/>
      <c r="B875" s="172"/>
      <c r="C875" s="172"/>
      <c r="D875" s="218"/>
      <c r="E875" s="218"/>
      <c r="F875" s="285"/>
      <c r="G875" s="272"/>
      <c r="H875" s="213"/>
    </row>
    <row r="876" spans="1:8" ht="15.75">
      <c r="A876" s="286"/>
      <c r="C876" s="288"/>
      <c r="D876" s="289"/>
      <c r="E876" s="290"/>
      <c r="F876" s="298"/>
      <c r="G876" s="299"/>
      <c r="H876" s="213"/>
    </row>
    <row r="877" spans="1:8" ht="15.75">
      <c r="A877" s="286"/>
      <c r="C877" s="288"/>
      <c r="D877" s="289"/>
      <c r="E877" s="290"/>
      <c r="F877" s="298"/>
      <c r="G877" s="299"/>
      <c r="H877" s="213"/>
    </row>
    <row r="878" spans="1:8" ht="15.75">
      <c r="A878" s="218"/>
      <c r="C878" s="288"/>
      <c r="D878" s="289"/>
      <c r="E878" s="290"/>
      <c r="F878" s="298"/>
      <c r="G878" s="299"/>
      <c r="H878" s="213"/>
    </row>
    <row r="879" spans="1:8" ht="15.75">
      <c r="A879" s="286"/>
      <c r="C879" s="288"/>
      <c r="D879" s="289"/>
      <c r="E879" s="290"/>
      <c r="F879" s="298"/>
      <c r="G879" s="299"/>
      <c r="H879" s="213"/>
    </row>
    <row r="880" spans="1:8" ht="15.75">
      <c r="A880" s="286"/>
      <c r="C880" s="288"/>
      <c r="D880" s="289"/>
      <c r="E880" s="290"/>
      <c r="F880" s="298"/>
      <c r="G880" s="299"/>
      <c r="H880" s="213"/>
    </row>
    <row r="881" spans="1:8" ht="15.75">
      <c r="A881" s="286"/>
      <c r="D881" s="289"/>
      <c r="E881" s="290"/>
      <c r="F881" s="298"/>
      <c r="G881" s="299"/>
      <c r="H881" s="213"/>
    </row>
    <row r="882" spans="1:8" ht="15.75">
      <c r="A882" s="218"/>
      <c r="B882" s="288"/>
      <c r="C882" s="288"/>
      <c r="D882" s="289"/>
      <c r="E882" s="290"/>
      <c r="F882" s="298"/>
      <c r="G882" s="299"/>
      <c r="H882" s="213"/>
    </row>
    <row r="883" spans="1:8" ht="15.75">
      <c r="A883" s="286"/>
      <c r="B883" s="288"/>
      <c r="C883" s="288"/>
      <c r="D883" s="289"/>
      <c r="E883" s="290"/>
      <c r="F883" s="298"/>
      <c r="G883" s="299"/>
      <c r="H883" s="213"/>
    </row>
    <row r="884" spans="1:8" ht="15.75">
      <c r="A884" s="286"/>
      <c r="B884" s="288"/>
      <c r="C884" s="288"/>
      <c r="D884" s="289"/>
      <c r="E884" s="290"/>
      <c r="F884" s="298"/>
      <c r="G884" s="299"/>
      <c r="H884" s="213"/>
    </row>
    <row r="885" spans="1:8" ht="15.75">
      <c r="A885" s="286"/>
      <c r="B885" s="288"/>
      <c r="C885" s="288"/>
      <c r="D885" s="289"/>
      <c r="E885" s="290"/>
      <c r="F885" s="298"/>
      <c r="G885" s="299"/>
      <c r="H885" s="213"/>
    </row>
    <row r="886" spans="1:8" ht="15.75">
      <c r="A886" s="286"/>
      <c r="B886" s="294"/>
      <c r="C886" s="288"/>
      <c r="D886" s="289"/>
      <c r="E886" s="290"/>
      <c r="F886" s="298"/>
      <c r="G886" s="299"/>
      <c r="H886" s="213"/>
    </row>
    <row r="887" spans="1:8" ht="15.75">
      <c r="A887" s="218"/>
      <c r="B887" s="294"/>
      <c r="C887" s="288"/>
      <c r="D887" s="289"/>
      <c r="E887" s="290"/>
      <c r="F887" s="298"/>
      <c r="G887" s="299"/>
      <c r="H887" s="213"/>
    </row>
    <row r="888" spans="1:8" ht="15.75">
      <c r="A888" s="286"/>
      <c r="B888" s="294"/>
      <c r="C888" s="288"/>
      <c r="D888" s="289"/>
      <c r="E888" s="290"/>
      <c r="F888" s="298"/>
      <c r="G888" s="299"/>
      <c r="H888" s="213"/>
    </row>
    <row r="889" spans="1:8" ht="15.75">
      <c r="A889" s="286"/>
      <c r="E889" s="290"/>
      <c r="F889" s="298"/>
      <c r="G889" s="299"/>
      <c r="H889" s="213"/>
    </row>
    <row r="890" spans="1:8" ht="15.75">
      <c r="A890" s="286"/>
      <c r="B890" s="295"/>
      <c r="E890" s="287"/>
      <c r="F890" s="298"/>
      <c r="G890" s="296"/>
      <c r="H890" s="300"/>
    </row>
    <row r="891" spans="1:8" ht="15.75">
      <c r="A891" s="218"/>
      <c r="B891" s="172"/>
      <c r="C891" s="172"/>
      <c r="D891" s="172"/>
      <c r="E891" s="218"/>
      <c r="F891" s="172"/>
      <c r="G891" s="301"/>
      <c r="H891" s="172"/>
    </row>
    <row r="892" spans="1:8" ht="15.75">
      <c r="A892" s="286"/>
      <c r="E892" s="290"/>
      <c r="F892" s="298"/>
      <c r="G892" s="299"/>
      <c r="H892" s="213"/>
    </row>
    <row r="893" spans="1:8" ht="15.75">
      <c r="A893" s="286"/>
      <c r="B893" s="291"/>
      <c r="E893" s="290"/>
      <c r="F893" s="298"/>
      <c r="G893" s="299"/>
      <c r="H893" s="213"/>
    </row>
    <row r="894" spans="1:8" ht="15.75">
      <c r="A894" s="286"/>
      <c r="B894" s="292"/>
      <c r="E894" s="293"/>
      <c r="F894" s="285"/>
      <c r="G894" s="272"/>
      <c r="H894" s="213"/>
    </row>
    <row r="895" spans="1:8" ht="15.75">
      <c r="A895" s="218"/>
      <c r="B895" s="172"/>
      <c r="E895" s="293"/>
      <c r="F895" s="285"/>
      <c r="G895" s="272"/>
      <c r="H895" s="213"/>
    </row>
    <row r="896" spans="1:8" ht="15.75">
      <c r="A896" s="286"/>
      <c r="B896" s="292"/>
      <c r="E896" s="293"/>
      <c r="F896" s="285"/>
      <c r="G896" s="272"/>
      <c r="H896" s="213"/>
    </row>
    <row r="897" spans="1:8" ht="15.75">
      <c r="A897" s="218"/>
      <c r="B897" s="292"/>
      <c r="E897" s="293"/>
      <c r="F897" s="285"/>
      <c r="G897" s="272"/>
      <c r="H897" s="213"/>
    </row>
    <row r="898" spans="1:8" ht="15.75">
      <c r="A898" s="286"/>
      <c r="B898" s="172"/>
      <c r="C898" s="172"/>
      <c r="E898" s="293"/>
      <c r="F898" s="285"/>
      <c r="G898" s="272"/>
      <c r="H898" s="213"/>
    </row>
    <row r="899" spans="1:8" ht="15.75">
      <c r="A899" s="286"/>
      <c r="B899" s="292"/>
      <c r="E899" s="293"/>
      <c r="F899" s="285"/>
      <c r="G899" s="272"/>
      <c r="H899" s="213"/>
    </row>
    <row r="900" spans="1:8" ht="15.75">
      <c r="A900" s="286"/>
      <c r="B900" s="292"/>
      <c r="E900" s="293"/>
      <c r="F900" s="285"/>
      <c r="G900" s="272"/>
      <c r="H900" s="213"/>
    </row>
    <row r="901" spans="1:8" ht="15.75">
      <c r="A901" s="218"/>
      <c r="B901" s="292"/>
      <c r="E901" s="293"/>
      <c r="F901" s="285"/>
      <c r="G901" s="272"/>
      <c r="H901" s="213"/>
    </row>
    <row r="902" spans="1:8" ht="15.75">
      <c r="A902" s="286"/>
      <c r="B902" s="292"/>
      <c r="E902" s="293"/>
      <c r="F902" s="285"/>
      <c r="G902" s="272"/>
      <c r="H902" s="213"/>
    </row>
    <row r="903" spans="1:8" ht="15.75">
      <c r="A903" s="286"/>
      <c r="B903" s="292"/>
      <c r="E903" s="293"/>
      <c r="F903" s="285"/>
      <c r="G903" s="272"/>
      <c r="H903" s="213"/>
    </row>
    <row r="904" spans="1:8" ht="15.75">
      <c r="A904" s="286"/>
      <c r="E904" s="290"/>
      <c r="F904" s="285"/>
      <c r="G904" s="272"/>
      <c r="H904" s="213"/>
    </row>
    <row r="905" spans="1:8" ht="15.75">
      <c r="A905" s="218"/>
      <c r="C905" s="288"/>
      <c r="D905" s="289"/>
      <c r="E905" s="290"/>
      <c r="F905" s="298"/>
      <c r="G905" s="213"/>
      <c r="H905" s="213"/>
    </row>
    <row r="906" spans="1:8" ht="15.75">
      <c r="A906" s="286"/>
      <c r="C906" s="288"/>
      <c r="D906" s="289"/>
      <c r="E906" s="290"/>
      <c r="F906" s="298"/>
      <c r="G906" s="213"/>
      <c r="H906" s="213"/>
    </row>
    <row r="907" spans="1:8" ht="15.75">
      <c r="A907" s="286"/>
      <c r="C907" s="288"/>
      <c r="D907" s="289"/>
      <c r="E907" s="290"/>
      <c r="F907" s="298"/>
      <c r="G907" s="213"/>
      <c r="H907" s="207"/>
    </row>
    <row r="908" spans="1:8" ht="15.75">
      <c r="A908" s="286"/>
      <c r="C908" s="288"/>
      <c r="D908" s="289"/>
      <c r="E908" s="290"/>
      <c r="F908" s="298"/>
      <c r="G908" s="213"/>
      <c r="H908" s="207"/>
    </row>
    <row r="909" spans="1:8" ht="15.75">
      <c r="A909" s="286"/>
      <c r="C909" s="288"/>
      <c r="D909" s="289"/>
      <c r="E909" s="290"/>
      <c r="F909" s="298"/>
      <c r="G909" s="213"/>
      <c r="H909" s="300"/>
    </row>
    <row r="910" spans="1:8" ht="15.75">
      <c r="A910" s="218"/>
      <c r="D910" s="289"/>
      <c r="E910" s="290"/>
      <c r="F910" s="298"/>
      <c r="G910" s="213"/>
      <c r="H910" s="207"/>
    </row>
    <row r="911" spans="1:8" ht="15.75">
      <c r="A911" s="286"/>
      <c r="B911" s="288"/>
      <c r="C911" s="288"/>
      <c r="D911" s="289"/>
      <c r="E911" s="290"/>
      <c r="F911" s="298"/>
      <c r="G911" s="213"/>
      <c r="H911" s="207"/>
    </row>
    <row r="912" spans="1:8" ht="15.75">
      <c r="A912" s="286"/>
      <c r="B912" s="288"/>
      <c r="C912" s="288"/>
      <c r="D912" s="289"/>
      <c r="E912" s="290"/>
      <c r="F912" s="298"/>
      <c r="G912" s="213"/>
      <c r="H912" s="207"/>
    </row>
    <row r="913" spans="1:8" ht="15.75">
      <c r="A913" s="218"/>
      <c r="B913" s="288"/>
      <c r="C913" s="288"/>
      <c r="D913" s="289"/>
      <c r="E913" s="290"/>
      <c r="F913" s="298"/>
      <c r="G913" s="213"/>
      <c r="H913" s="213"/>
    </row>
    <row r="914" spans="1:8" ht="15.75">
      <c r="A914" s="286"/>
      <c r="B914" s="288"/>
      <c r="C914" s="288"/>
      <c r="D914" s="289"/>
      <c r="E914" s="290"/>
      <c r="F914" s="298"/>
      <c r="G914" s="213"/>
      <c r="H914" s="213"/>
    </row>
    <row r="915" spans="1:8" ht="15.75">
      <c r="A915" s="218"/>
      <c r="B915" s="294"/>
      <c r="C915" s="288"/>
      <c r="D915" s="289"/>
      <c r="E915" s="290"/>
      <c r="F915" s="298"/>
      <c r="G915" s="213"/>
      <c r="H915" s="213"/>
    </row>
    <row r="916" spans="1:8" ht="15.75">
      <c r="A916" s="286"/>
      <c r="B916" s="294"/>
      <c r="C916" s="288"/>
      <c r="D916" s="289"/>
      <c r="E916" s="290"/>
      <c r="F916" s="298"/>
      <c r="G916" s="213"/>
      <c r="H916" s="213"/>
    </row>
    <row r="917" spans="1:8" ht="15.75">
      <c r="A917" s="286"/>
      <c r="B917" s="294"/>
      <c r="C917" s="288"/>
      <c r="D917" s="289"/>
      <c r="E917" s="290"/>
      <c r="F917" s="298"/>
      <c r="G917" s="213"/>
      <c r="H917" s="213"/>
    </row>
    <row r="918" spans="1:8" ht="15.75">
      <c r="A918" s="286"/>
      <c r="B918" s="292"/>
      <c r="E918" s="293"/>
      <c r="F918" s="285"/>
      <c r="G918" s="272"/>
      <c r="H918" s="213"/>
    </row>
    <row r="919" spans="1:8" ht="15.75">
      <c r="A919" s="286"/>
      <c r="B919" s="295"/>
      <c r="E919" s="287"/>
      <c r="F919" s="298"/>
      <c r="G919" s="296"/>
      <c r="H919" s="300"/>
    </row>
    <row r="920" spans="1:8" ht="15.75">
      <c r="A920" s="218"/>
      <c r="B920" s="172"/>
      <c r="C920" s="172"/>
      <c r="D920" s="172"/>
      <c r="E920" s="218"/>
      <c r="F920" s="172"/>
      <c r="G920" s="301"/>
      <c r="H920" s="172"/>
    </row>
    <row r="921" spans="1:8" ht="15.75">
      <c r="A921" s="286"/>
      <c r="B921" s="292"/>
      <c r="E921" s="293"/>
      <c r="F921" s="285"/>
      <c r="G921" s="272"/>
      <c r="H921" s="213"/>
    </row>
    <row r="922" spans="1:8" ht="15.75">
      <c r="A922" s="286"/>
      <c r="B922" s="292"/>
      <c r="E922" s="293"/>
      <c r="F922" s="285"/>
      <c r="G922" s="272"/>
      <c r="H922" s="213"/>
    </row>
    <row r="923" spans="1:8" ht="15.75">
      <c r="A923" s="286"/>
      <c r="B923" s="292"/>
      <c r="E923" s="293"/>
      <c r="F923" s="285"/>
      <c r="G923" s="272"/>
      <c r="H923" s="213"/>
    </row>
    <row r="924" spans="1:8" ht="15.75">
      <c r="A924" s="218"/>
      <c r="B924" s="292"/>
      <c r="E924" s="293"/>
      <c r="F924" s="285"/>
      <c r="G924" s="272"/>
      <c r="H924" s="213"/>
    </row>
    <row r="925" spans="1:8" ht="15.75">
      <c r="A925" s="286"/>
      <c r="E925" s="290"/>
      <c r="F925" s="298"/>
      <c r="G925" s="299"/>
      <c r="H925" s="213"/>
    </row>
    <row r="926" spans="1:8" ht="15.75">
      <c r="A926" s="218"/>
      <c r="E926" s="290"/>
      <c r="F926" s="298"/>
      <c r="G926" s="299"/>
      <c r="H926" s="213"/>
    </row>
    <row r="927" spans="1:8" ht="15.75">
      <c r="A927" s="286"/>
      <c r="E927" s="290"/>
      <c r="F927" s="298"/>
      <c r="G927" s="299"/>
      <c r="H927" s="213"/>
    </row>
    <row r="928" spans="1:8" ht="15.75">
      <c r="A928" s="286"/>
      <c r="E928" s="290"/>
      <c r="F928" s="298"/>
      <c r="G928" s="299"/>
      <c r="H928" s="213"/>
    </row>
    <row r="929" spans="1:8" ht="15.75">
      <c r="A929" s="286"/>
      <c r="E929" s="290"/>
      <c r="F929" s="298"/>
      <c r="G929" s="299"/>
      <c r="H929" s="213"/>
    </row>
    <row r="930" spans="1:8" ht="15.75">
      <c r="A930" s="218"/>
      <c r="E930" s="290"/>
      <c r="F930" s="298"/>
      <c r="G930" s="299"/>
      <c r="H930" s="213"/>
    </row>
    <row r="931" spans="1:8" ht="15.75">
      <c r="A931" s="286"/>
      <c r="E931" s="290"/>
      <c r="F931" s="298"/>
      <c r="G931" s="299"/>
      <c r="H931" s="213"/>
    </row>
    <row r="932" spans="1:8" ht="15.75">
      <c r="A932" s="286"/>
      <c r="E932" s="290"/>
      <c r="F932" s="298"/>
      <c r="G932" s="299"/>
      <c r="H932" s="213"/>
    </row>
    <row r="933" spans="1:8" ht="15.75">
      <c r="A933" s="286"/>
      <c r="E933" s="290"/>
      <c r="F933" s="298"/>
      <c r="G933" s="299"/>
      <c r="H933" s="213"/>
    </row>
    <row r="934" spans="1:8" ht="15.75">
      <c r="A934" s="218"/>
      <c r="E934" s="290"/>
      <c r="F934" s="298"/>
      <c r="G934" s="299"/>
      <c r="H934" s="213"/>
    </row>
    <row r="935" spans="1:8" ht="15.75">
      <c r="A935" s="286"/>
      <c r="B935" s="292"/>
      <c r="E935" s="290"/>
      <c r="F935" s="298"/>
      <c r="G935" s="299"/>
      <c r="H935" s="213"/>
    </row>
    <row r="936" spans="1:8" ht="15.75">
      <c r="A936" s="286"/>
      <c r="B936" s="292"/>
      <c r="E936" s="290"/>
      <c r="F936" s="298"/>
      <c r="G936" s="299"/>
      <c r="H936" s="213"/>
    </row>
    <row r="937" spans="1:8" ht="15.75">
      <c r="A937" s="218"/>
      <c r="B937" s="292"/>
      <c r="E937" s="290"/>
      <c r="F937" s="298"/>
      <c r="G937" s="299"/>
      <c r="H937" s="213"/>
    </row>
    <row r="938" spans="1:8" ht="15.75">
      <c r="A938" s="286"/>
      <c r="B938" s="291"/>
      <c r="E938" s="287"/>
      <c r="F938" s="298"/>
      <c r="G938" s="299"/>
      <c r="H938" s="213"/>
    </row>
    <row r="939" spans="1:8" ht="15.75">
      <c r="A939" s="286"/>
      <c r="B939" s="291"/>
      <c r="E939" s="287"/>
      <c r="F939" s="298"/>
      <c r="G939" s="299"/>
      <c r="H939" s="207"/>
    </row>
    <row r="940" spans="1:8" ht="15.75">
      <c r="A940" s="286"/>
      <c r="B940" s="295"/>
      <c r="E940" s="287"/>
      <c r="F940" s="298"/>
      <c r="G940" s="296"/>
      <c r="H940" s="300"/>
    </row>
    <row r="941" spans="1:8" ht="15.75">
      <c r="A941" s="286"/>
      <c r="B941" s="291"/>
      <c r="E941" s="287"/>
      <c r="F941" s="298"/>
      <c r="G941" s="299"/>
      <c r="H941" s="207"/>
    </row>
    <row r="942" spans="1:8" ht="15.75">
      <c r="A942" s="286"/>
      <c r="B942" s="291"/>
      <c r="E942" s="287"/>
      <c r="F942" s="298"/>
      <c r="G942" s="299"/>
      <c r="H942" s="207"/>
    </row>
    <row r="943" spans="1:8" ht="15.75">
      <c r="A943" s="286"/>
      <c r="B943" s="291"/>
      <c r="E943" s="287"/>
      <c r="F943" s="298"/>
      <c r="G943" s="299"/>
      <c r="H943" s="207"/>
    </row>
    <row r="944" spans="1:8" ht="15.75">
      <c r="A944" s="286"/>
      <c r="B944" s="292"/>
      <c r="E944" s="293"/>
      <c r="F944" s="285"/>
      <c r="G944" s="272"/>
      <c r="H944" s="213"/>
    </row>
    <row r="945" spans="1:8" ht="15.75">
      <c r="A945" s="218"/>
      <c r="B945" s="292"/>
      <c r="E945" s="293"/>
      <c r="F945" s="285"/>
      <c r="G945" s="272"/>
      <c r="H945" s="213"/>
    </row>
    <row r="946" spans="1:8" ht="15.75">
      <c r="A946" s="286"/>
      <c r="B946" s="292"/>
      <c r="E946" s="293"/>
      <c r="F946" s="285"/>
      <c r="G946" s="272"/>
      <c r="H946" s="213"/>
    </row>
    <row r="947" spans="1:8" ht="15.75">
      <c r="A947" s="218"/>
      <c r="B947" s="292"/>
      <c r="E947" s="293"/>
      <c r="F947" s="285"/>
      <c r="G947" s="272"/>
      <c r="H947" s="213"/>
    </row>
    <row r="948" spans="1:8" ht="15.75">
      <c r="A948" s="286"/>
      <c r="B948" s="292"/>
      <c r="E948" s="293"/>
      <c r="F948" s="285"/>
      <c r="G948" s="272"/>
      <c r="H948" s="213"/>
    </row>
    <row r="949" spans="1:8" ht="15.75">
      <c r="A949" s="286"/>
      <c r="B949" s="292"/>
      <c r="E949" s="293"/>
      <c r="F949" s="285"/>
      <c r="G949" s="272"/>
      <c r="H949" s="213"/>
    </row>
    <row r="950" spans="1:8" ht="15.75">
      <c r="A950" s="286"/>
      <c r="B950" s="292"/>
      <c r="E950" s="293"/>
      <c r="F950" s="285"/>
      <c r="G950" s="272"/>
      <c r="H950" s="213"/>
    </row>
    <row r="951" spans="1:8" ht="15.75">
      <c r="A951" s="218"/>
      <c r="B951" s="292"/>
      <c r="E951" s="293"/>
      <c r="F951" s="285"/>
      <c r="G951" s="272"/>
      <c r="H951" s="213"/>
    </row>
    <row r="952" spans="1:8" ht="15.75">
      <c r="A952" s="286"/>
      <c r="B952" s="292"/>
      <c r="E952" s="293"/>
      <c r="F952" s="285"/>
      <c r="G952" s="272"/>
      <c r="H952" s="213"/>
    </row>
    <row r="953" spans="1:8" ht="15.75">
      <c r="A953" s="286"/>
      <c r="B953" s="292"/>
      <c r="E953" s="293"/>
      <c r="F953" s="285"/>
      <c r="G953" s="272"/>
      <c r="H953" s="213"/>
    </row>
    <row r="954" spans="1:8" ht="15.75">
      <c r="A954" s="286"/>
      <c r="B954" s="292"/>
      <c r="E954" s="293"/>
      <c r="F954" s="285"/>
      <c r="G954" s="272"/>
      <c r="H954" s="213"/>
    </row>
    <row r="955" spans="1:8" ht="15.75">
      <c r="A955" s="218"/>
      <c r="B955" s="292"/>
      <c r="E955" s="293"/>
      <c r="F955" s="285"/>
      <c r="G955" s="272"/>
      <c r="H955" s="213"/>
    </row>
    <row r="956" spans="1:8" ht="15.75">
      <c r="A956" s="286"/>
      <c r="E956" s="290"/>
      <c r="F956" s="285"/>
      <c r="G956" s="272"/>
      <c r="H956" s="213"/>
    </row>
    <row r="957" spans="1:8" ht="15.75">
      <c r="A957" s="218"/>
      <c r="E957" s="290"/>
      <c r="F957" s="285"/>
      <c r="G957" s="272"/>
      <c r="H957" s="213"/>
    </row>
    <row r="958" spans="1:8" ht="15.75">
      <c r="A958" s="286"/>
      <c r="E958" s="290"/>
      <c r="F958" s="285"/>
      <c r="G958" s="272"/>
      <c r="H958" s="213"/>
    </row>
    <row r="959" spans="1:8" ht="15.75">
      <c r="A959" s="286"/>
      <c r="E959" s="290"/>
      <c r="F959" s="285"/>
      <c r="G959" s="272"/>
      <c r="H959" s="213"/>
    </row>
    <row r="960" spans="1:8" ht="15.75">
      <c r="A960" s="286"/>
      <c r="E960" s="290"/>
      <c r="F960" s="285"/>
      <c r="G960" s="272"/>
      <c r="H960" s="213"/>
    </row>
    <row r="961" spans="1:8" ht="15.75">
      <c r="A961" s="218"/>
      <c r="E961" s="290"/>
      <c r="F961" s="285"/>
      <c r="G961" s="272"/>
      <c r="H961" s="213"/>
    </row>
    <row r="962" spans="1:8" ht="15.75">
      <c r="A962" s="286"/>
      <c r="E962" s="290"/>
      <c r="F962" s="285"/>
      <c r="G962" s="272"/>
      <c r="H962" s="213"/>
    </row>
    <row r="963" spans="1:8" ht="15.75">
      <c r="A963" s="286"/>
      <c r="E963" s="290"/>
      <c r="F963" s="285"/>
      <c r="G963" s="272"/>
      <c r="H963" s="213"/>
    </row>
    <row r="964" spans="1:8" ht="15.75">
      <c r="A964" s="286"/>
      <c r="E964" s="290"/>
      <c r="F964" s="285"/>
      <c r="G964" s="272"/>
      <c r="H964" s="213"/>
    </row>
    <row r="965" spans="1:8" ht="15.75">
      <c r="A965" s="218"/>
      <c r="E965" s="290"/>
      <c r="F965" s="285"/>
      <c r="G965" s="272"/>
      <c r="H965" s="213"/>
    </row>
    <row r="966" spans="1:8" ht="15.75">
      <c r="A966" s="286"/>
      <c r="B966" s="292"/>
      <c r="E966" s="290"/>
      <c r="F966" s="285"/>
      <c r="G966" s="272"/>
      <c r="H966" s="213"/>
    </row>
    <row r="967" spans="1:8" ht="15.75">
      <c r="A967" s="286"/>
      <c r="B967" s="292"/>
      <c r="E967" s="290"/>
      <c r="F967" s="285"/>
      <c r="G967" s="272"/>
      <c r="H967" s="213"/>
    </row>
    <row r="968" spans="1:8" ht="15.75">
      <c r="A968" s="218"/>
      <c r="B968" s="292"/>
      <c r="E968" s="290"/>
      <c r="F968" s="285"/>
      <c r="G968" s="272"/>
      <c r="H968" s="213"/>
    </row>
    <row r="969" spans="1:8" ht="15.75">
      <c r="A969" s="286"/>
      <c r="B969" s="291"/>
      <c r="E969" s="287"/>
      <c r="F969" s="285"/>
      <c r="G969" s="272"/>
      <c r="H969" s="213"/>
    </row>
    <row r="970" spans="1:8" ht="15.75">
      <c r="A970" s="286"/>
      <c r="B970" s="291"/>
      <c r="E970" s="287"/>
      <c r="F970" s="285"/>
      <c r="G970" s="272"/>
      <c r="H970" s="213"/>
    </row>
    <row r="971" spans="1:8" ht="15.75">
      <c r="A971" s="286"/>
      <c r="B971" s="295"/>
      <c r="E971" s="287"/>
      <c r="F971" s="285"/>
      <c r="G971" s="296"/>
      <c r="H971" s="300"/>
    </row>
    <row r="972" spans="1:8" ht="15.75">
      <c r="A972" s="286"/>
      <c r="B972" s="291"/>
      <c r="E972" s="287"/>
      <c r="F972" s="298"/>
      <c r="G972" s="299"/>
      <c r="H972" s="207"/>
    </row>
    <row r="973" spans="1:8" ht="15.75">
      <c r="A973" s="286"/>
      <c r="B973" s="291"/>
      <c r="E973" s="287"/>
      <c r="F973" s="298"/>
      <c r="G973" s="299"/>
      <c r="H973" s="207"/>
    </row>
    <row r="974" spans="1:8" ht="15.75">
      <c r="A974" s="286"/>
      <c r="B974" s="291"/>
      <c r="E974" s="287"/>
      <c r="F974" s="298"/>
      <c r="G974" s="299"/>
      <c r="H974" s="207"/>
    </row>
    <row r="975" spans="1:8" ht="15.75">
      <c r="A975" s="286"/>
      <c r="B975" s="292"/>
      <c r="E975" s="293"/>
      <c r="F975" s="285"/>
      <c r="G975" s="272"/>
      <c r="H975" s="213"/>
    </row>
    <row r="976" spans="1:8" ht="15.75">
      <c r="A976" s="218"/>
      <c r="B976" s="292"/>
      <c r="E976" s="293"/>
      <c r="F976" s="272"/>
      <c r="G976" s="272"/>
      <c r="H976" s="213"/>
    </row>
    <row r="977" spans="1:8" ht="15.75">
      <c r="A977" s="286"/>
      <c r="B977" s="292"/>
      <c r="E977" s="293"/>
      <c r="G977" s="272"/>
      <c r="H977" s="213"/>
    </row>
    <row r="978" spans="1:8" ht="15.75">
      <c r="A978" s="218"/>
      <c r="B978" s="292"/>
      <c r="E978" s="293"/>
      <c r="G978" s="272"/>
      <c r="H978" s="213"/>
    </row>
    <row r="979" spans="1:8" ht="15.75">
      <c r="A979" s="286"/>
      <c r="B979" s="292"/>
      <c r="E979" s="293"/>
      <c r="G979" s="272"/>
      <c r="H979" s="213"/>
    </row>
    <row r="980" spans="1:8" ht="15.75">
      <c r="A980" s="286"/>
      <c r="B980" s="292"/>
      <c r="E980" s="293"/>
      <c r="F980" s="285"/>
      <c r="G980" s="272"/>
      <c r="H980" s="213"/>
    </row>
    <row r="981" spans="1:8" ht="15.75">
      <c r="A981" s="286"/>
      <c r="B981" s="292"/>
      <c r="E981" s="293"/>
      <c r="F981" s="285"/>
      <c r="G981" s="272"/>
      <c r="H981" s="213"/>
    </row>
    <row r="982" spans="1:8" ht="15.75">
      <c r="A982" s="218"/>
      <c r="B982" s="292"/>
      <c r="E982" s="293"/>
      <c r="F982" s="285"/>
      <c r="G982" s="272"/>
      <c r="H982" s="213"/>
    </row>
    <row r="983" spans="1:8" ht="15.75">
      <c r="A983" s="286"/>
      <c r="B983" s="292"/>
      <c r="E983" s="293"/>
      <c r="F983" s="285"/>
      <c r="G983" s="272"/>
      <c r="H983" s="213"/>
    </row>
    <row r="984" spans="1:8" ht="15.75">
      <c r="A984" s="286"/>
      <c r="E984" s="290"/>
      <c r="F984" s="285"/>
      <c r="H984" s="213"/>
    </row>
    <row r="985" spans="1:8" ht="15.75">
      <c r="A985" s="286"/>
      <c r="E985" s="290"/>
      <c r="F985" s="285"/>
      <c r="H985" s="213"/>
    </row>
    <row r="986" spans="1:8" ht="15.75">
      <c r="A986" s="218"/>
      <c r="E986" s="290"/>
      <c r="F986" s="285"/>
      <c r="H986" s="213"/>
    </row>
    <row r="987" spans="1:8" ht="15.75">
      <c r="A987" s="286"/>
      <c r="E987" s="290"/>
      <c r="F987" s="285"/>
      <c r="H987" s="213"/>
    </row>
    <row r="988" spans="1:8" ht="15.75">
      <c r="A988" s="218"/>
      <c r="E988" s="290"/>
      <c r="F988" s="285"/>
      <c r="H988" s="213"/>
    </row>
    <row r="989" spans="1:8" ht="15.75">
      <c r="A989" s="286"/>
      <c r="E989" s="290"/>
      <c r="F989" s="285"/>
      <c r="H989" s="213"/>
    </row>
    <row r="990" spans="1:8" ht="15.75">
      <c r="A990" s="286"/>
      <c r="E990" s="290"/>
      <c r="F990" s="285"/>
      <c r="H990" s="213"/>
    </row>
    <row r="991" spans="1:8" ht="15.75">
      <c r="A991" s="286"/>
      <c r="E991" s="290"/>
      <c r="F991" s="285"/>
      <c r="H991" s="213"/>
    </row>
    <row r="992" spans="1:8" ht="15.75">
      <c r="A992" s="218"/>
      <c r="E992" s="290"/>
      <c r="F992" s="285"/>
      <c r="H992" s="213"/>
    </row>
    <row r="993" spans="1:8" ht="15.75">
      <c r="A993" s="286"/>
      <c r="E993" s="290"/>
      <c r="F993" s="285"/>
      <c r="H993" s="213"/>
    </row>
    <row r="994" spans="1:8" ht="15.75">
      <c r="A994" s="286"/>
      <c r="B994" s="292"/>
      <c r="E994" s="290"/>
      <c r="F994" s="285"/>
      <c r="H994" s="213"/>
    </row>
    <row r="995" spans="1:8" ht="15.75">
      <c r="A995" s="286"/>
      <c r="B995" s="292"/>
      <c r="E995" s="290"/>
      <c r="F995" s="285"/>
      <c r="H995" s="213"/>
    </row>
    <row r="996" spans="1:8" ht="15.75">
      <c r="A996" s="218"/>
      <c r="B996" s="292"/>
      <c r="E996" s="290"/>
      <c r="F996" s="285"/>
      <c r="H996" s="213"/>
    </row>
    <row r="997" spans="1:8" ht="15.75">
      <c r="A997" s="286"/>
      <c r="C997" s="288"/>
      <c r="D997" s="289"/>
      <c r="E997" s="290"/>
      <c r="F997" s="285"/>
      <c r="H997" s="213"/>
    </row>
    <row r="1044" spans="1:8" ht="15.75">
      <c r="A1044" s="218"/>
      <c r="B1044" s="294"/>
      <c r="C1044" s="288"/>
      <c r="D1044" s="289"/>
      <c r="E1044" s="290"/>
      <c r="F1044" s="285"/>
      <c r="H1044" s="213"/>
    </row>
    <row r="1045" spans="1:8" ht="15.75">
      <c r="A1045" s="286"/>
      <c r="B1045" s="294"/>
      <c r="C1045" s="288"/>
      <c r="D1045" s="289"/>
      <c r="E1045" s="290"/>
      <c r="F1045" s="285"/>
      <c r="H1045" s="213"/>
    </row>
    <row r="1046" spans="1:8" ht="15.75">
      <c r="A1046" s="218"/>
      <c r="B1046" s="294"/>
      <c r="C1046" s="288"/>
      <c r="D1046" s="289"/>
      <c r="E1046" s="290"/>
      <c r="F1046" s="285"/>
      <c r="H1046" s="213"/>
    </row>
    <row r="1047" spans="1:8" ht="15.75">
      <c r="A1047" s="218"/>
      <c r="B1047" s="295"/>
      <c r="C1047" s="172"/>
      <c r="D1047" s="218"/>
      <c r="E1047" s="290"/>
      <c r="F1047" s="285"/>
      <c r="G1047" s="302"/>
      <c r="H1047" s="300"/>
    </row>
    <row r="1048" spans="1:8" ht="15.75">
      <c r="A1048" s="218"/>
      <c r="B1048" s="172"/>
      <c r="C1048" s="172"/>
      <c r="D1048" s="172"/>
      <c r="E1048" s="218"/>
      <c r="F1048" s="285"/>
      <c r="H1048" s="213"/>
    </row>
    <row r="1049" spans="1:8" ht="15.75">
      <c r="A1049" s="218"/>
      <c r="B1049" s="291"/>
      <c r="C1049" s="288"/>
      <c r="D1049" s="289"/>
      <c r="E1049" s="290"/>
      <c r="F1049" s="285"/>
      <c r="H1049" s="213"/>
    </row>
    <row r="1050" spans="1:8" ht="15.75">
      <c r="A1050" s="286"/>
      <c r="B1050" s="172"/>
      <c r="C1050" s="172"/>
      <c r="D1050" s="218"/>
      <c r="E1050" s="218"/>
      <c r="F1050" s="285"/>
      <c r="H1050" s="213"/>
    </row>
    <row r="1051" spans="1:8" ht="15.75">
      <c r="A1051" s="218"/>
      <c r="B1051" s="172"/>
      <c r="C1051" s="172"/>
      <c r="D1051" s="218"/>
      <c r="E1051" s="218"/>
      <c r="F1051" s="285"/>
      <c r="H1051" s="213"/>
    </row>
    <row r="1052" spans="1:8" ht="15.75">
      <c r="A1052" s="286"/>
      <c r="B1052" s="172"/>
      <c r="C1052" s="172"/>
      <c r="D1052" s="218"/>
      <c r="E1052" s="218"/>
      <c r="F1052" s="285"/>
      <c r="H1052" s="213"/>
    </row>
    <row r="1053" spans="1:8" ht="15.75">
      <c r="A1053" s="218"/>
      <c r="B1053" s="172"/>
      <c r="C1053" s="172"/>
      <c r="D1053" s="218"/>
      <c r="E1053" s="218"/>
      <c r="F1053" s="285"/>
      <c r="H1053" s="213"/>
    </row>
    <row r="1054" spans="1:8" ht="15.75">
      <c r="A1054" s="286"/>
      <c r="B1054" s="172"/>
      <c r="C1054" s="172"/>
      <c r="D1054" s="218"/>
      <c r="E1054" s="218"/>
      <c r="F1054" s="285"/>
      <c r="H1054" s="213"/>
    </row>
    <row r="1055" spans="1:8" ht="15.75">
      <c r="A1055" s="286"/>
      <c r="B1055" s="172"/>
      <c r="C1055" s="172"/>
      <c r="D1055" s="218"/>
      <c r="E1055" s="218"/>
      <c r="F1055" s="285"/>
      <c r="H1055" s="213"/>
    </row>
    <row r="1056" spans="1:8" ht="15.75">
      <c r="A1056" s="286"/>
      <c r="B1056" s="172"/>
      <c r="C1056" s="172"/>
      <c r="D1056" s="218"/>
      <c r="E1056" s="218"/>
      <c r="F1056" s="285"/>
      <c r="H1056" s="213"/>
    </row>
    <row r="1057" spans="1:8" ht="15.75">
      <c r="A1057" s="218"/>
      <c r="B1057" s="172"/>
      <c r="C1057" s="172"/>
      <c r="D1057" s="218"/>
      <c r="E1057" s="218"/>
      <c r="F1057" s="285"/>
      <c r="H1057" s="213"/>
    </row>
    <row r="1058" spans="1:8" ht="15.75">
      <c r="A1058" s="286"/>
      <c r="B1058" s="172"/>
      <c r="C1058" s="172"/>
      <c r="D1058" s="218"/>
      <c r="E1058" s="218"/>
      <c r="F1058" s="285"/>
      <c r="H1058" s="213"/>
    </row>
    <row r="1059" spans="1:8" ht="15.75">
      <c r="A1059" s="218"/>
      <c r="B1059" s="172"/>
      <c r="C1059" s="172"/>
      <c r="D1059" s="218"/>
      <c r="E1059" s="218"/>
      <c r="F1059" s="285"/>
      <c r="H1059" s="213"/>
    </row>
    <row r="1060" spans="1:8" ht="15.75">
      <c r="A1060" s="286"/>
      <c r="B1060" s="288"/>
      <c r="C1060" s="288"/>
      <c r="D1060" s="218"/>
      <c r="E1060" s="218"/>
      <c r="H1060" s="213"/>
    </row>
    <row r="1061" spans="1:5" ht="15.75">
      <c r="A1061" s="286"/>
      <c r="B1061" s="172"/>
      <c r="C1061" s="172"/>
      <c r="D1061" s="289"/>
      <c r="E1061" s="290"/>
    </row>
    <row r="1062" spans="1:6" ht="15.75">
      <c r="A1062" s="286"/>
      <c r="C1062" s="288"/>
      <c r="D1062" s="289"/>
      <c r="E1062" s="290"/>
      <c r="F1062" s="285"/>
    </row>
    <row r="1063" spans="1:6" ht="15.75">
      <c r="A1063" s="218"/>
      <c r="C1063" s="288"/>
      <c r="D1063" s="289"/>
      <c r="E1063" s="290"/>
      <c r="F1063" s="285"/>
    </row>
    <row r="1064" spans="1:8" ht="15.75">
      <c r="A1064" s="286"/>
      <c r="C1064" s="288"/>
      <c r="D1064" s="289"/>
      <c r="E1064" s="290"/>
      <c r="F1064" s="285"/>
      <c r="H1064" s="213"/>
    </row>
    <row r="1065" spans="1:6" ht="15.75">
      <c r="A1065" s="286"/>
      <c r="C1065" s="288"/>
      <c r="D1065" s="289"/>
      <c r="E1065" s="290"/>
      <c r="F1065" s="285"/>
    </row>
    <row r="1066" spans="1:6" ht="15.75">
      <c r="A1066" s="286"/>
      <c r="C1066" s="288"/>
      <c r="D1066" s="289"/>
      <c r="E1066" s="290"/>
      <c r="F1066" s="285"/>
    </row>
    <row r="1067" spans="1:8" ht="15.75">
      <c r="A1067" s="218"/>
      <c r="D1067" s="289"/>
      <c r="F1067" s="285"/>
      <c r="H1067" s="213"/>
    </row>
    <row r="1068" spans="1:8" ht="15.75">
      <c r="A1068" s="286"/>
      <c r="B1068" s="288"/>
      <c r="C1068" s="288"/>
      <c r="D1068" s="289"/>
      <c r="E1068" s="290"/>
      <c r="H1068" s="213"/>
    </row>
    <row r="1069" spans="1:8" ht="15.75">
      <c r="A1069" s="286"/>
      <c r="B1069" s="288"/>
      <c r="C1069" s="288"/>
      <c r="D1069" s="289"/>
      <c r="E1069" s="290"/>
      <c r="H1069" s="213"/>
    </row>
    <row r="1070" spans="1:8" ht="15.75">
      <c r="A1070" s="286"/>
      <c r="B1070" s="288"/>
      <c r="C1070" s="288"/>
      <c r="D1070" s="289"/>
      <c r="E1070" s="290"/>
      <c r="F1070" s="285"/>
      <c r="H1070" s="213"/>
    </row>
    <row r="1071" spans="1:8" ht="15.75">
      <c r="A1071" s="218"/>
      <c r="B1071" s="288"/>
      <c r="C1071" s="288"/>
      <c r="D1071" s="289"/>
      <c r="E1071" s="290"/>
      <c r="F1071" s="285"/>
      <c r="H1071" s="213"/>
    </row>
    <row r="1072" spans="1:8" ht="15.75">
      <c r="A1072" s="286"/>
      <c r="B1072" s="294"/>
      <c r="C1072" s="288"/>
      <c r="D1072" s="289"/>
      <c r="E1072" s="290"/>
      <c r="F1072" s="285"/>
      <c r="H1072" s="213"/>
    </row>
    <row r="1073" spans="1:8" ht="15.75">
      <c r="A1073" s="286"/>
      <c r="B1073" s="294"/>
      <c r="C1073" s="288"/>
      <c r="D1073" s="289"/>
      <c r="E1073" s="290"/>
      <c r="F1073" s="285"/>
      <c r="H1073" s="213"/>
    </row>
    <row r="1074" spans="1:8" ht="15.75">
      <c r="A1074" s="286"/>
      <c r="B1074" s="294"/>
      <c r="C1074" s="288"/>
      <c r="D1074" s="289"/>
      <c r="E1074" s="290"/>
      <c r="F1074" s="285"/>
      <c r="H1074" s="213"/>
    </row>
    <row r="1075" spans="1:8" ht="15.75">
      <c r="A1075" s="286"/>
      <c r="B1075" s="172"/>
      <c r="C1075" s="172"/>
      <c r="D1075" s="172"/>
      <c r="E1075" s="218"/>
      <c r="F1075" s="285"/>
      <c r="H1075" s="213"/>
    </row>
    <row r="1076" spans="1:8" ht="15.75">
      <c r="A1076" s="286"/>
      <c r="B1076" s="295"/>
      <c r="C1076" s="172"/>
      <c r="D1076" s="218"/>
      <c r="E1076" s="218"/>
      <c r="F1076" s="285"/>
      <c r="G1076" s="302"/>
      <c r="H1076" s="300"/>
    </row>
    <row r="1077" spans="1:8" ht="15.75">
      <c r="A1077" s="286"/>
      <c r="B1077" s="172"/>
      <c r="C1077" s="172"/>
      <c r="D1077" s="172"/>
      <c r="E1077" s="218"/>
      <c r="F1077" s="172"/>
      <c r="G1077" s="172"/>
      <c r="H1077" s="213"/>
    </row>
    <row r="1078" spans="1:8" ht="15.75">
      <c r="A1078" s="286"/>
      <c r="H1078" s="298"/>
    </row>
    <row r="1079" spans="1:8" ht="15.75">
      <c r="A1079" s="286"/>
      <c r="H1079" s="298"/>
    </row>
    <row r="1080" ht="15.75">
      <c r="A1080" s="218"/>
    </row>
    <row r="1081" spans="1:8" ht="15.75">
      <c r="A1081" s="286"/>
      <c r="H1081" s="207"/>
    </row>
    <row r="1082" spans="1:8" ht="15.75">
      <c r="A1082" s="286"/>
      <c r="H1082" s="207"/>
    </row>
    <row r="1083" spans="1:8" ht="15.75">
      <c r="A1083" s="218"/>
      <c r="H1083" s="207"/>
    </row>
    <row r="1084" spans="1:8" ht="15.75">
      <c r="A1084" s="286"/>
      <c r="H1084" s="213"/>
    </row>
    <row r="1085" spans="1:8" ht="15.75">
      <c r="A1085" s="218"/>
      <c r="H1085" s="213"/>
    </row>
    <row r="1086" spans="1:8" ht="15.75">
      <c r="A1086" s="286"/>
      <c r="H1086" s="172"/>
    </row>
    <row r="1087" spans="1:8" ht="15.75">
      <c r="A1087" s="286"/>
      <c r="B1087" s="288"/>
      <c r="C1087" s="288"/>
      <c r="D1087" s="289"/>
      <c r="E1087" s="297"/>
      <c r="F1087" s="285"/>
      <c r="H1087" s="213"/>
    </row>
    <row r="1088" spans="1:8" ht="15.75">
      <c r="A1088" s="286"/>
      <c r="C1088" s="288"/>
      <c r="D1088" s="289"/>
      <c r="E1088" s="290"/>
      <c r="F1088" s="172"/>
      <c r="G1088" s="172"/>
      <c r="H1088" s="213"/>
    </row>
    <row r="1089" spans="1:8" ht="15.75">
      <c r="A1089" s="218"/>
      <c r="C1089" s="288"/>
      <c r="D1089" s="289"/>
      <c r="E1089" s="290"/>
      <c r="F1089" s="172"/>
      <c r="G1089" s="172"/>
      <c r="H1089" s="213"/>
    </row>
    <row r="1090" spans="1:8" ht="15.75">
      <c r="A1090" s="286"/>
      <c r="D1090" s="289"/>
      <c r="F1090" s="172"/>
      <c r="G1090" s="172"/>
      <c r="H1090" s="213"/>
    </row>
    <row r="1091" spans="1:8" ht="15.75">
      <c r="A1091" s="218"/>
      <c r="B1091" s="288"/>
      <c r="C1091" s="288"/>
      <c r="D1091" s="289"/>
      <c r="E1091" s="290"/>
      <c r="F1091" s="172"/>
      <c r="G1091" s="172"/>
      <c r="H1091" s="213"/>
    </row>
    <row r="1092" spans="1:8" ht="15.75">
      <c r="A1092" s="286"/>
      <c r="B1092" s="288"/>
      <c r="C1092" s="288"/>
      <c r="D1092" s="289"/>
      <c r="E1092" s="290"/>
      <c r="F1092" s="172"/>
      <c r="G1092" s="172"/>
      <c r="H1092" s="213"/>
    </row>
    <row r="1093" spans="1:8" ht="15.75">
      <c r="A1093" s="218"/>
      <c r="B1093" s="288"/>
      <c r="C1093" s="288"/>
      <c r="D1093" s="289"/>
      <c r="E1093" s="290"/>
      <c r="F1093" s="172"/>
      <c r="G1093" s="172"/>
      <c r="H1093" s="213"/>
    </row>
    <row r="1094" spans="1:8" ht="15.75">
      <c r="A1094" s="286"/>
      <c r="B1094" s="288"/>
      <c r="C1094" s="288"/>
      <c r="D1094" s="289"/>
      <c r="E1094" s="290"/>
      <c r="F1094" s="172"/>
      <c r="G1094" s="172"/>
      <c r="H1094" s="213"/>
    </row>
    <row r="1095" spans="1:8" ht="15.75">
      <c r="A1095" s="218"/>
      <c r="B1095" s="294"/>
      <c r="C1095" s="288"/>
      <c r="D1095" s="289"/>
      <c r="E1095" s="290"/>
      <c r="F1095" s="172"/>
      <c r="G1095" s="172"/>
      <c r="H1095" s="213"/>
    </row>
    <row r="1096" spans="1:8" ht="15.75">
      <c r="A1096" s="286"/>
      <c r="B1096" s="294"/>
      <c r="C1096" s="288"/>
      <c r="D1096" s="289"/>
      <c r="E1096" s="290"/>
      <c r="F1096" s="172"/>
      <c r="G1096" s="172"/>
      <c r="H1096" s="303"/>
    </row>
    <row r="1097" spans="1:8" ht="15.75">
      <c r="A1097" s="218"/>
      <c r="B1097" s="294"/>
      <c r="C1097" s="288"/>
      <c r="D1097" s="289"/>
      <c r="E1097" s="290"/>
      <c r="F1097" s="172"/>
      <c r="G1097" s="172"/>
      <c r="H1097" s="303"/>
    </row>
    <row r="1098" spans="1:8" ht="15.75">
      <c r="A1098" s="218"/>
      <c r="B1098" s="295"/>
      <c r="C1098" s="172"/>
      <c r="D1098" s="218"/>
      <c r="E1098" s="290"/>
      <c r="F1098" s="172"/>
      <c r="G1098" s="172"/>
      <c r="H1098" s="303"/>
    </row>
    <row r="1099" spans="1:8" ht="15.75">
      <c r="A1099" s="218"/>
      <c r="B1099" s="294"/>
      <c r="C1099" s="288"/>
      <c r="D1099" s="289"/>
      <c r="E1099" s="290"/>
      <c r="F1099" s="172"/>
      <c r="G1099" s="172"/>
      <c r="H1099" s="303"/>
    </row>
    <row r="1100" ht="15.75">
      <c r="A1100" s="218"/>
    </row>
    <row r="1101" ht="15.75">
      <c r="A1101" s="286"/>
    </row>
    <row r="1102" ht="15.75">
      <c r="A1102" s="286"/>
    </row>
    <row r="1103" ht="15.75">
      <c r="A1103" s="286"/>
    </row>
    <row r="1104" ht="15.75">
      <c r="A1104" s="218"/>
    </row>
    <row r="1105" ht="15.75">
      <c r="A1105" s="286"/>
    </row>
    <row r="1106" ht="15.75">
      <c r="A1106" s="218"/>
    </row>
    <row r="1107" ht="15.75">
      <c r="A1107" s="286"/>
    </row>
    <row r="1108" ht="15.75">
      <c r="A1108" s="286"/>
    </row>
    <row r="1109" spans="1:8" ht="15.75">
      <c r="A1109" s="286"/>
      <c r="F1109" s="285"/>
      <c r="H1109" s="213"/>
    </row>
    <row r="1110" spans="1:8" ht="15.75">
      <c r="A1110" s="218"/>
      <c r="B1110" s="172"/>
      <c r="C1110" s="172"/>
      <c r="D1110" s="289"/>
      <c r="F1110" s="285"/>
      <c r="H1110" s="213"/>
    </row>
    <row r="1111" spans="1:8" ht="15.75">
      <c r="A1111" s="286"/>
      <c r="B1111" s="172"/>
      <c r="C1111" s="172"/>
      <c r="D1111" s="289"/>
      <c r="F1111" s="285"/>
      <c r="H1111" s="213"/>
    </row>
    <row r="1112" spans="1:8" ht="15.75">
      <c r="A1112" s="218"/>
      <c r="F1112" s="285"/>
      <c r="H1112" s="213"/>
    </row>
    <row r="1113" spans="1:8" ht="15.75">
      <c r="A1113" s="286"/>
      <c r="F1113" s="285"/>
      <c r="H1113" s="213"/>
    </row>
    <row r="1114" spans="1:7" ht="15.75">
      <c r="A1114" s="286"/>
      <c r="B1114" s="172"/>
      <c r="C1114" s="172"/>
      <c r="D1114" s="289"/>
      <c r="E1114" s="290"/>
      <c r="F1114" s="285"/>
      <c r="G1114" s="213"/>
    </row>
    <row r="1115" ht="15.75">
      <c r="A1115" s="286"/>
    </row>
    <row r="1116" ht="15.75">
      <c r="A1116" s="218"/>
    </row>
    <row r="1117" ht="15.75">
      <c r="A1117" s="286"/>
    </row>
    <row r="1118" ht="15.75">
      <c r="A1118" s="218"/>
    </row>
    <row r="1119" ht="15.75">
      <c r="A1119" s="286"/>
    </row>
    <row r="1120" ht="15.75">
      <c r="A1120" s="286"/>
    </row>
    <row r="1121" ht="15.75">
      <c r="A1121" s="286"/>
    </row>
    <row r="1122" ht="15.75">
      <c r="A1122" s="218"/>
    </row>
    <row r="1123" ht="15.75">
      <c r="A1123" s="286"/>
    </row>
    <row r="1124" ht="15.75">
      <c r="A1124" s="218"/>
    </row>
    <row r="1125" ht="15.75">
      <c r="A1125" s="286"/>
    </row>
    <row r="1126" ht="15.75">
      <c r="A1126" s="286"/>
    </row>
    <row r="1127" ht="15.75">
      <c r="A1127" s="218"/>
    </row>
    <row r="1128" ht="15.75">
      <c r="A1128" s="286"/>
    </row>
    <row r="1129" ht="15.75">
      <c r="A1129" s="172"/>
    </row>
    <row r="1130" ht="15.75">
      <c r="A1130" s="172"/>
    </row>
    <row r="1131" ht="15.75">
      <c r="A1131" s="218"/>
    </row>
    <row r="1132" ht="15.75">
      <c r="A1132" s="218"/>
    </row>
    <row r="1133" ht="15.75">
      <c r="A1133" s="218"/>
    </row>
    <row r="1134" ht="15.75">
      <c r="A1134" s="218"/>
    </row>
    <row r="1135" ht="15.75">
      <c r="A1135" s="286"/>
    </row>
    <row r="1136" ht="15.75">
      <c r="A1136" s="218"/>
    </row>
    <row r="1137" ht="15.75">
      <c r="A1137" s="286"/>
    </row>
    <row r="1138" spans="1:8" ht="15.75">
      <c r="A1138" s="218"/>
      <c r="C1138" s="288"/>
      <c r="D1138" s="289"/>
      <c r="E1138" s="290"/>
      <c r="F1138" s="285"/>
      <c r="H1138" s="213"/>
    </row>
    <row r="1139" spans="1:4" ht="15.75">
      <c r="A1139" s="286"/>
      <c r="D1139" s="289"/>
    </row>
    <row r="1140" spans="1:8" ht="15.75">
      <c r="A1140" s="218"/>
      <c r="B1140" s="288"/>
      <c r="C1140" s="288"/>
      <c r="D1140" s="289"/>
      <c r="E1140" s="290"/>
      <c r="F1140" s="285"/>
      <c r="H1140" s="213"/>
    </row>
    <row r="1141" spans="1:8" ht="15.75">
      <c r="A1141" s="286"/>
      <c r="B1141" s="288"/>
      <c r="C1141" s="288"/>
      <c r="D1141" s="289"/>
      <c r="E1141" s="290"/>
      <c r="F1141" s="285"/>
      <c r="H1141" s="213"/>
    </row>
    <row r="1142" spans="1:8" ht="15.75">
      <c r="A1142" s="218"/>
      <c r="B1142" s="288"/>
      <c r="C1142" s="288"/>
      <c r="D1142" s="289"/>
      <c r="E1142" s="290"/>
      <c r="F1142" s="285"/>
      <c r="H1142" s="213"/>
    </row>
    <row r="1143" spans="1:8" ht="15.75">
      <c r="A1143" s="286"/>
      <c r="B1143" s="288"/>
      <c r="C1143" s="288"/>
      <c r="D1143" s="289"/>
      <c r="E1143" s="290"/>
      <c r="F1143" s="285"/>
      <c r="H1143" s="213"/>
    </row>
    <row r="1144" spans="1:8" ht="15.75">
      <c r="A1144" s="218"/>
      <c r="B1144" s="294"/>
      <c r="C1144" s="288"/>
      <c r="D1144" s="289"/>
      <c r="E1144" s="290"/>
      <c r="F1144" s="285"/>
      <c r="H1144" s="213"/>
    </row>
    <row r="1145" spans="1:8" ht="15.75">
      <c r="A1145" s="286"/>
      <c r="B1145" s="304"/>
      <c r="C1145" s="288"/>
      <c r="D1145" s="289"/>
      <c r="E1145" s="297"/>
      <c r="G1145" s="305"/>
      <c r="H1145" s="303"/>
    </row>
    <row r="1146" spans="1:8" ht="15.75">
      <c r="A1146" s="218"/>
      <c r="B1146" s="306"/>
      <c r="C1146" s="288"/>
      <c r="D1146" s="289"/>
      <c r="E1146" s="297"/>
      <c r="F1146" s="307"/>
      <c r="G1146" s="298"/>
      <c r="H1146" s="298"/>
    </row>
    <row r="1147" spans="1:8" ht="15.75">
      <c r="A1147" s="286"/>
      <c r="B1147" s="308"/>
      <c r="C1147" s="309"/>
      <c r="D1147" s="310"/>
      <c r="E1147" s="311"/>
      <c r="F1147" s="312"/>
      <c r="G1147" s="313"/>
      <c r="H1147" s="207"/>
    </row>
    <row r="1148" spans="1:8" ht="15.75">
      <c r="A1148" s="172"/>
      <c r="B1148" s="172"/>
      <c r="C1148" s="172"/>
      <c r="D1148" s="218"/>
      <c r="E1148" s="218"/>
      <c r="F1148" s="172"/>
      <c r="G1148" s="172"/>
      <c r="H1148" s="172"/>
    </row>
    <row r="1149" spans="1:8" ht="15.75">
      <c r="A1149" s="172"/>
      <c r="B1149" s="172"/>
      <c r="C1149" s="172"/>
      <c r="D1149" s="218"/>
      <c r="E1149" s="218"/>
      <c r="F1149" s="172"/>
      <c r="G1149" s="172"/>
      <c r="H1149" s="172"/>
    </row>
    <row r="1150" spans="1:8" ht="15.75">
      <c r="A1150" s="218"/>
      <c r="B1150" s="291"/>
      <c r="E1150" s="287"/>
      <c r="F1150" s="298"/>
      <c r="G1150" s="299"/>
      <c r="H1150" s="207"/>
    </row>
    <row r="1151" spans="1:8" ht="15.75">
      <c r="A1151" s="286"/>
      <c r="B1151" s="306"/>
      <c r="C1151" s="288"/>
      <c r="D1151" s="289"/>
      <c r="E1151" s="297"/>
      <c r="F1151" s="272"/>
      <c r="H1151" s="213"/>
    </row>
    <row r="1152" spans="1:8" ht="15.75">
      <c r="A1152" s="218"/>
      <c r="B1152" s="288"/>
      <c r="C1152" s="288"/>
      <c r="D1152" s="289"/>
      <c r="E1152" s="297"/>
      <c r="F1152" s="272"/>
      <c r="H1152" s="213"/>
    </row>
    <row r="1153" spans="1:8" ht="15.75">
      <c r="A1153" s="286"/>
      <c r="B1153" s="172"/>
      <c r="C1153" s="172"/>
      <c r="D1153" s="218"/>
      <c r="E1153" s="218"/>
      <c r="F1153" s="172"/>
      <c r="H1153" s="213"/>
    </row>
    <row r="1154" spans="1:8" ht="15.75">
      <c r="A1154" s="218"/>
      <c r="B1154" s="288"/>
      <c r="C1154" s="288"/>
      <c r="D1154" s="289"/>
      <c r="E1154" s="297"/>
      <c r="F1154" s="285"/>
      <c r="H1154" s="213"/>
    </row>
    <row r="1155" spans="1:8" ht="15.75">
      <c r="A1155" s="286"/>
      <c r="B1155" s="288"/>
      <c r="C1155" s="288"/>
      <c r="D1155" s="289"/>
      <c r="E1155" s="297"/>
      <c r="F1155" s="285"/>
      <c r="H1155" s="213"/>
    </row>
    <row r="1156" spans="1:8" ht="15.75">
      <c r="A1156" s="218"/>
      <c r="C1156" s="288"/>
      <c r="D1156" s="289"/>
      <c r="E1156" s="290"/>
      <c r="F1156" s="285"/>
      <c r="H1156" s="213"/>
    </row>
    <row r="1157" spans="1:4" ht="15.75">
      <c r="A1157" s="286"/>
      <c r="D1157" s="289"/>
    </row>
    <row r="1158" spans="1:8" ht="15.75">
      <c r="A1158" s="218"/>
      <c r="B1158" s="288"/>
      <c r="C1158" s="288"/>
      <c r="D1158" s="289"/>
      <c r="E1158" s="290"/>
      <c r="F1158" s="285"/>
      <c r="H1158" s="213"/>
    </row>
    <row r="1159" spans="1:8" ht="15.75">
      <c r="A1159" s="286"/>
      <c r="B1159" s="288"/>
      <c r="C1159" s="288"/>
      <c r="D1159" s="289"/>
      <c r="E1159" s="290"/>
      <c r="F1159" s="285"/>
      <c r="H1159" s="213"/>
    </row>
    <row r="1160" spans="1:8" ht="15.75">
      <c r="A1160" s="218"/>
      <c r="B1160" s="288"/>
      <c r="C1160" s="288"/>
      <c r="D1160" s="289"/>
      <c r="E1160" s="290"/>
      <c r="F1160" s="285"/>
      <c r="H1160" s="213"/>
    </row>
    <row r="1161" spans="1:8" ht="15.75">
      <c r="A1161" s="286"/>
      <c r="B1161" s="288"/>
      <c r="C1161" s="288"/>
      <c r="D1161" s="289"/>
      <c r="E1161" s="290"/>
      <c r="F1161" s="285"/>
      <c r="H1161" s="213"/>
    </row>
    <row r="1162" spans="1:8" ht="15.75">
      <c r="A1162" s="218"/>
      <c r="B1162" s="294"/>
      <c r="C1162" s="288"/>
      <c r="D1162" s="289"/>
      <c r="E1162" s="290"/>
      <c r="F1162" s="285"/>
      <c r="H1162" s="213"/>
    </row>
    <row r="1163" spans="1:8" ht="15.75">
      <c r="A1163" s="286"/>
      <c r="B1163" s="304"/>
      <c r="C1163" s="288"/>
      <c r="D1163" s="289"/>
      <c r="E1163" s="297"/>
      <c r="G1163" s="305"/>
      <c r="H1163" s="303"/>
    </row>
    <row r="1164" spans="1:8" ht="15.75">
      <c r="A1164" s="218"/>
      <c r="B1164" s="306"/>
      <c r="C1164" s="288"/>
      <c r="D1164" s="289"/>
      <c r="E1164" s="297"/>
      <c r="F1164" s="307"/>
      <c r="G1164" s="298"/>
      <c r="H1164" s="298"/>
    </row>
    <row r="1165" spans="1:8" ht="15.75">
      <c r="A1165" s="286"/>
      <c r="B1165" s="308"/>
      <c r="C1165" s="309"/>
      <c r="D1165" s="310"/>
      <c r="E1165" s="311"/>
      <c r="F1165" s="312"/>
      <c r="G1165" s="313"/>
      <c r="H1165" s="207"/>
    </row>
    <row r="1166" ht="15.75">
      <c r="A1166" s="218"/>
    </row>
    <row r="1167" spans="1:8" ht="15.75">
      <c r="A1167" s="218"/>
      <c r="B1167" s="291"/>
      <c r="E1167" s="287"/>
      <c r="F1167" s="298"/>
      <c r="G1167" s="299"/>
      <c r="H1167" s="207"/>
    </row>
    <row r="1168" spans="1:8" ht="15.75">
      <c r="A1168" s="286"/>
      <c r="B1168" s="306"/>
      <c r="C1168" s="288"/>
      <c r="D1168" s="289"/>
      <c r="E1168" s="297"/>
      <c r="F1168" s="272"/>
      <c r="H1168" s="213"/>
    </row>
    <row r="1169" spans="1:8" ht="15.75">
      <c r="A1169" s="218"/>
      <c r="B1169" s="288"/>
      <c r="C1169" s="288"/>
      <c r="D1169" s="289"/>
      <c r="E1169" s="297"/>
      <c r="F1169" s="272"/>
      <c r="H1169" s="213"/>
    </row>
    <row r="1170" spans="1:8" ht="15.75">
      <c r="A1170" s="286"/>
      <c r="B1170" s="288"/>
      <c r="C1170" s="288"/>
      <c r="D1170" s="289"/>
      <c r="E1170" s="297"/>
      <c r="F1170" s="285"/>
      <c r="H1170" s="213"/>
    </row>
    <row r="1171" spans="1:8" ht="15.75">
      <c r="A1171" s="218"/>
      <c r="B1171" s="288"/>
      <c r="C1171" s="288"/>
      <c r="D1171" s="289"/>
      <c r="E1171" s="297"/>
      <c r="F1171" s="285"/>
      <c r="H1171" s="213"/>
    </row>
    <row r="1172" spans="1:8" ht="15.75">
      <c r="A1172" s="286"/>
      <c r="B1172" s="288"/>
      <c r="C1172" s="288"/>
      <c r="D1172" s="289"/>
      <c r="E1172" s="290"/>
      <c r="F1172" s="285"/>
      <c r="H1172" s="213"/>
    </row>
    <row r="1173" spans="1:8" ht="15.75">
      <c r="A1173" s="218"/>
      <c r="B1173" s="288"/>
      <c r="C1173" s="288"/>
      <c r="D1173" s="289"/>
      <c r="E1173" s="297"/>
      <c r="F1173" s="285"/>
      <c r="H1173" s="213"/>
    </row>
    <row r="1174" spans="1:8" ht="15.75">
      <c r="A1174" s="286"/>
      <c r="B1174" s="288"/>
      <c r="C1174" s="288"/>
      <c r="D1174" s="289"/>
      <c r="E1174" s="297"/>
      <c r="F1174" s="285"/>
      <c r="H1174" s="213"/>
    </row>
    <row r="1175" spans="1:8" ht="15.75">
      <c r="A1175" s="218"/>
      <c r="C1175" s="288"/>
      <c r="D1175" s="289"/>
      <c r="E1175" s="290"/>
      <c r="F1175" s="285"/>
      <c r="H1175" s="213"/>
    </row>
    <row r="1176" spans="1:8" ht="15.75">
      <c r="A1176" s="286"/>
      <c r="C1176" s="288"/>
      <c r="D1176" s="289"/>
      <c r="E1176" s="290"/>
      <c r="F1176" s="285"/>
      <c r="H1176" s="213"/>
    </row>
    <row r="1177" spans="1:5" ht="15.75">
      <c r="A1177" s="218"/>
      <c r="D1177" s="289"/>
      <c r="E1177" s="290"/>
    </row>
    <row r="1178" spans="1:4" ht="15.75">
      <c r="A1178" s="286"/>
      <c r="D1178" s="289"/>
    </row>
    <row r="1179" spans="1:8" ht="15.75">
      <c r="A1179" s="218"/>
      <c r="B1179" s="288"/>
      <c r="C1179" s="288"/>
      <c r="D1179" s="289"/>
      <c r="E1179" s="290"/>
      <c r="F1179" s="285"/>
      <c r="H1179" s="213"/>
    </row>
    <row r="1180" spans="1:8" ht="15.75">
      <c r="A1180" s="286"/>
      <c r="B1180" s="288"/>
      <c r="C1180" s="288"/>
      <c r="D1180" s="289"/>
      <c r="E1180" s="290"/>
      <c r="F1180" s="285"/>
      <c r="H1180" s="213"/>
    </row>
    <row r="1181" spans="1:8" ht="15.75">
      <c r="A1181" s="218"/>
      <c r="B1181" s="288"/>
      <c r="C1181" s="288"/>
      <c r="D1181" s="289"/>
      <c r="E1181" s="290"/>
      <c r="F1181" s="285"/>
      <c r="H1181" s="213"/>
    </row>
    <row r="1182" spans="1:8" ht="15.75">
      <c r="A1182" s="286"/>
      <c r="B1182" s="288"/>
      <c r="C1182" s="288"/>
      <c r="D1182" s="289"/>
      <c r="E1182" s="290"/>
      <c r="F1182" s="285"/>
      <c r="H1182" s="213"/>
    </row>
    <row r="1183" spans="1:8" ht="15.75">
      <c r="A1183" s="218"/>
      <c r="B1183" s="294"/>
      <c r="C1183" s="288"/>
      <c r="D1183" s="289"/>
      <c r="E1183" s="290"/>
      <c r="F1183" s="285"/>
      <c r="H1183" s="213"/>
    </row>
    <row r="1184" spans="1:8" ht="15.75">
      <c r="A1184" s="218"/>
      <c r="B1184" s="304"/>
      <c r="C1184" s="288"/>
      <c r="D1184" s="289"/>
      <c r="E1184" s="297"/>
      <c r="G1184" s="305"/>
      <c r="H1184" s="303"/>
    </row>
    <row r="1185" spans="1:8" ht="15.75">
      <c r="A1185" s="218"/>
      <c r="B1185" s="306"/>
      <c r="C1185" s="288"/>
      <c r="D1185" s="289"/>
      <c r="E1185" s="297"/>
      <c r="F1185" s="307"/>
      <c r="G1185" s="298"/>
      <c r="H1185" s="298"/>
    </row>
    <row r="1186" spans="1:8" ht="15.75">
      <c r="A1186" s="286"/>
      <c r="B1186" s="308"/>
      <c r="C1186" s="309"/>
      <c r="D1186" s="310"/>
      <c r="E1186" s="311"/>
      <c r="F1186" s="312"/>
      <c r="G1186" s="313"/>
      <c r="H1186" s="207"/>
    </row>
    <row r="1187" spans="1:8" ht="15.75">
      <c r="A1187" s="286"/>
      <c r="B1187" s="308"/>
      <c r="C1187" s="309"/>
      <c r="D1187" s="310"/>
      <c r="E1187" s="311"/>
      <c r="F1187" s="312"/>
      <c r="G1187" s="313"/>
      <c r="H1187" s="207"/>
    </row>
    <row r="1188" spans="1:8" ht="15.75">
      <c r="A1188" s="218"/>
      <c r="B1188" s="172"/>
      <c r="C1188" s="172"/>
      <c r="D1188" s="172"/>
      <c r="E1188" s="218"/>
      <c r="F1188" s="172"/>
      <c r="G1188" s="172"/>
      <c r="H1188" s="172"/>
    </row>
    <row r="1189" spans="1:8" ht="15.75">
      <c r="A1189" s="218"/>
      <c r="B1189" s="291"/>
      <c r="E1189" s="287"/>
      <c r="F1189" s="298"/>
      <c r="G1189" s="299"/>
      <c r="H1189" s="207"/>
    </row>
    <row r="1190" spans="1:8" ht="15.75">
      <c r="A1190" s="286"/>
      <c r="B1190" s="306"/>
      <c r="C1190" s="288"/>
      <c r="D1190" s="289"/>
      <c r="E1190" s="297"/>
      <c r="F1190" s="272"/>
      <c r="H1190" s="213"/>
    </row>
    <row r="1191" spans="1:8" ht="15.75">
      <c r="A1191" s="218"/>
      <c r="B1191" s="288"/>
      <c r="C1191" s="288"/>
      <c r="D1191" s="289"/>
      <c r="E1191" s="297"/>
      <c r="F1191" s="272"/>
      <c r="H1191" s="213"/>
    </row>
    <row r="1192" spans="1:8" ht="15.75">
      <c r="A1192" s="286"/>
      <c r="B1192" s="288"/>
      <c r="C1192" s="288"/>
      <c r="D1192" s="289"/>
      <c r="E1192" s="297"/>
      <c r="F1192" s="285"/>
      <c r="H1192" s="213"/>
    </row>
    <row r="1193" spans="1:8" ht="15.75">
      <c r="A1193" s="218"/>
      <c r="B1193" s="288"/>
      <c r="C1193" s="288"/>
      <c r="D1193" s="289"/>
      <c r="E1193" s="297"/>
      <c r="F1193" s="272"/>
      <c r="H1193" s="213"/>
    </row>
    <row r="1194" spans="1:8" ht="15.75">
      <c r="A1194" s="286"/>
      <c r="B1194" s="172"/>
      <c r="C1194" s="172"/>
      <c r="D1194" s="289"/>
      <c r="E1194" s="218"/>
      <c r="F1194" s="172"/>
      <c r="H1194" s="213"/>
    </row>
    <row r="1195" spans="1:8" ht="15.75">
      <c r="A1195" s="218"/>
      <c r="B1195" s="288"/>
      <c r="C1195" s="288"/>
      <c r="D1195" s="289"/>
      <c r="E1195" s="297"/>
      <c r="F1195" s="285"/>
      <c r="H1195" s="213"/>
    </row>
    <row r="1196" spans="1:8" ht="15.75">
      <c r="A1196" s="286"/>
      <c r="B1196" s="288"/>
      <c r="C1196" s="288"/>
      <c r="D1196" s="289"/>
      <c r="E1196" s="297"/>
      <c r="F1196" s="285"/>
      <c r="H1196" s="213"/>
    </row>
    <row r="1197" spans="1:8" ht="15.75">
      <c r="A1197" s="218"/>
      <c r="C1197" s="288"/>
      <c r="D1197" s="289"/>
      <c r="E1197" s="290"/>
      <c r="F1197" s="285"/>
      <c r="H1197" s="213"/>
    </row>
    <row r="1198" spans="1:8" ht="15.75">
      <c r="A1198" s="286"/>
      <c r="C1198" s="288"/>
      <c r="D1198" s="289"/>
      <c r="E1198" s="290"/>
      <c r="F1198" s="285"/>
      <c r="H1198" s="213"/>
    </row>
    <row r="1199" spans="1:5" ht="15.75">
      <c r="A1199" s="218"/>
      <c r="D1199" s="289"/>
      <c r="E1199" s="290"/>
    </row>
    <row r="1200" spans="1:4" ht="15.75">
      <c r="A1200" s="286"/>
      <c r="D1200" s="289"/>
    </row>
    <row r="1201" spans="1:8" ht="15.75">
      <c r="A1201" s="218"/>
      <c r="B1201" s="288"/>
      <c r="C1201" s="288"/>
      <c r="D1201" s="289"/>
      <c r="E1201" s="290"/>
      <c r="F1201" s="285"/>
      <c r="H1201" s="213"/>
    </row>
    <row r="1202" spans="1:8" ht="15.75">
      <c r="A1202" s="286"/>
      <c r="B1202" s="288"/>
      <c r="C1202" s="288"/>
      <c r="D1202" s="289"/>
      <c r="E1202" s="290"/>
      <c r="F1202" s="285"/>
      <c r="H1202" s="213"/>
    </row>
    <row r="1203" spans="1:8" ht="15.75">
      <c r="A1203" s="218"/>
      <c r="B1203" s="288"/>
      <c r="C1203" s="288"/>
      <c r="D1203" s="289"/>
      <c r="E1203" s="290"/>
      <c r="F1203" s="285"/>
      <c r="H1203" s="213"/>
    </row>
    <row r="1204" spans="1:8" ht="15.75">
      <c r="A1204" s="286"/>
      <c r="B1204" s="288"/>
      <c r="C1204" s="288"/>
      <c r="D1204" s="289"/>
      <c r="E1204" s="290"/>
      <c r="F1204" s="285"/>
      <c r="H1204" s="213"/>
    </row>
    <row r="1205" spans="1:8" ht="15.75">
      <c r="A1205" s="218"/>
      <c r="B1205" s="294"/>
      <c r="C1205" s="288"/>
      <c r="D1205" s="289"/>
      <c r="E1205" s="290"/>
      <c r="F1205" s="285"/>
      <c r="H1205" s="213"/>
    </row>
    <row r="1206" spans="1:8" ht="15.75">
      <c r="A1206" s="218"/>
      <c r="B1206" s="304"/>
      <c r="C1206" s="288"/>
      <c r="D1206" s="289"/>
      <c r="E1206" s="297"/>
      <c r="G1206" s="305"/>
      <c r="H1206" s="303"/>
    </row>
    <row r="1207" spans="1:8" ht="15.75">
      <c r="A1207" s="218"/>
      <c r="B1207" s="306"/>
      <c r="C1207" s="288"/>
      <c r="D1207" s="289"/>
      <c r="E1207" s="297"/>
      <c r="F1207" s="307"/>
      <c r="G1207" s="298"/>
      <c r="H1207" s="298"/>
    </row>
    <row r="1208" spans="1:8" ht="15.75">
      <c r="A1208" s="286"/>
      <c r="B1208" s="308"/>
      <c r="C1208" s="309"/>
      <c r="D1208" s="310"/>
      <c r="E1208" s="311"/>
      <c r="F1208" s="312"/>
      <c r="G1208" s="313"/>
      <c r="H1208" s="207"/>
    </row>
    <row r="1209" spans="1:8" ht="15.75">
      <c r="A1209" s="286"/>
      <c r="C1209" s="288"/>
      <c r="D1209" s="289"/>
      <c r="E1209" s="290"/>
      <c r="F1209" s="285"/>
      <c r="H1209" s="213"/>
    </row>
    <row r="1210" spans="1:8" ht="15.75">
      <c r="A1210" s="218"/>
      <c r="C1210" s="288"/>
      <c r="D1210" s="289"/>
      <c r="E1210" s="290"/>
      <c r="F1210" s="285"/>
      <c r="H1210" s="213"/>
    </row>
    <row r="1211" spans="1:8" ht="15.75">
      <c r="A1211" s="218"/>
      <c r="B1211" s="291"/>
      <c r="E1211" s="287"/>
      <c r="F1211" s="298"/>
      <c r="G1211" s="299"/>
      <c r="H1211" s="207"/>
    </row>
    <row r="1212" spans="1:8" ht="15.75">
      <c r="A1212" s="286"/>
      <c r="B1212" s="306"/>
      <c r="C1212" s="288"/>
      <c r="D1212" s="289"/>
      <c r="E1212" s="297"/>
      <c r="F1212" s="272"/>
      <c r="H1212" s="213"/>
    </row>
    <row r="1213" spans="1:8" ht="15.75">
      <c r="A1213" s="218"/>
      <c r="B1213" s="288"/>
      <c r="C1213" s="288"/>
      <c r="D1213" s="289"/>
      <c r="E1213" s="297"/>
      <c r="F1213" s="272"/>
      <c r="H1213" s="213"/>
    </row>
    <row r="1214" spans="1:8" ht="15.75">
      <c r="A1214" s="286"/>
      <c r="B1214" s="172"/>
      <c r="C1214" s="172"/>
      <c r="D1214" s="218"/>
      <c r="E1214" s="218"/>
      <c r="F1214" s="172"/>
      <c r="H1214" s="213"/>
    </row>
    <row r="1215" spans="1:8" ht="15.75">
      <c r="A1215" s="218"/>
      <c r="B1215" s="288"/>
      <c r="C1215" s="288"/>
      <c r="D1215" s="289"/>
      <c r="E1215" s="297"/>
      <c r="F1215" s="285"/>
      <c r="H1215" s="213"/>
    </row>
    <row r="1216" spans="1:8" ht="15.75">
      <c r="A1216" s="286"/>
      <c r="B1216" s="288"/>
      <c r="C1216" s="288"/>
      <c r="D1216" s="289"/>
      <c r="E1216" s="297"/>
      <c r="F1216" s="285"/>
      <c r="H1216" s="213"/>
    </row>
    <row r="1217" spans="1:8" ht="15.75">
      <c r="A1217" s="218"/>
      <c r="C1217" s="288"/>
      <c r="D1217" s="289"/>
      <c r="E1217" s="290"/>
      <c r="F1217" s="285"/>
      <c r="H1217" s="213"/>
    </row>
    <row r="1218" spans="1:4" ht="15.75">
      <c r="A1218" s="286"/>
      <c r="D1218" s="289"/>
    </row>
    <row r="1219" spans="1:8" ht="15.75">
      <c r="A1219" s="218"/>
      <c r="B1219" s="288"/>
      <c r="C1219" s="288"/>
      <c r="D1219" s="289"/>
      <c r="E1219" s="290"/>
      <c r="F1219" s="285"/>
      <c r="H1219" s="213"/>
    </row>
    <row r="1220" spans="1:8" ht="15.75">
      <c r="A1220" s="286"/>
      <c r="B1220" s="288"/>
      <c r="C1220" s="288"/>
      <c r="D1220" s="289"/>
      <c r="E1220" s="290"/>
      <c r="F1220" s="285"/>
      <c r="H1220" s="213"/>
    </row>
    <row r="1221" spans="1:8" ht="15.75">
      <c r="A1221" s="218"/>
      <c r="B1221" s="288"/>
      <c r="C1221" s="288"/>
      <c r="D1221" s="289"/>
      <c r="E1221" s="290"/>
      <c r="F1221" s="285"/>
      <c r="H1221" s="213"/>
    </row>
    <row r="1222" spans="1:8" ht="15.75">
      <c r="A1222" s="286"/>
      <c r="B1222" s="288"/>
      <c r="C1222" s="288"/>
      <c r="D1222" s="289"/>
      <c r="E1222" s="290"/>
      <c r="F1222" s="285"/>
      <c r="H1222" s="213"/>
    </row>
    <row r="1223" spans="1:8" ht="15.75">
      <c r="A1223" s="218"/>
      <c r="B1223" s="294"/>
      <c r="C1223" s="288"/>
      <c r="D1223" s="289"/>
      <c r="E1223" s="290"/>
      <c r="F1223" s="285"/>
      <c r="H1223" s="213"/>
    </row>
    <row r="1224" spans="1:8" ht="15.75">
      <c r="A1224" s="286"/>
      <c r="B1224" s="304"/>
      <c r="C1224" s="288"/>
      <c r="D1224" s="289"/>
      <c r="E1224" s="297"/>
      <c r="G1224" s="305"/>
      <c r="H1224" s="303"/>
    </row>
    <row r="1225" spans="1:8" ht="15.75">
      <c r="A1225" s="218"/>
      <c r="B1225" s="306"/>
      <c r="C1225" s="288"/>
      <c r="D1225" s="289"/>
      <c r="E1225" s="297"/>
      <c r="F1225" s="307"/>
      <c r="G1225" s="298"/>
      <c r="H1225" s="298"/>
    </row>
    <row r="1226" spans="1:8" ht="15.75">
      <c r="A1226" s="286"/>
      <c r="B1226" s="308"/>
      <c r="C1226" s="309"/>
      <c r="D1226" s="310"/>
      <c r="E1226" s="311"/>
      <c r="F1226" s="312"/>
      <c r="G1226" s="313"/>
      <c r="H1226" s="207"/>
    </row>
    <row r="1227" spans="1:8" ht="15.75">
      <c r="A1227" s="286"/>
      <c r="B1227" s="288"/>
      <c r="C1227" s="288"/>
      <c r="D1227" s="289"/>
      <c r="E1227" s="290"/>
      <c r="F1227" s="314"/>
      <c r="H1227" s="213"/>
    </row>
    <row r="1228" spans="1:8" ht="15.75">
      <c r="A1228" s="218"/>
      <c r="B1228" s="288"/>
      <c r="C1228" s="288"/>
      <c r="D1228" s="289"/>
      <c r="E1228" s="290"/>
      <c r="F1228" s="314"/>
      <c r="H1228" s="213"/>
    </row>
    <row r="1229" spans="1:8" ht="15.75">
      <c r="A1229" s="218"/>
      <c r="B1229" s="291"/>
      <c r="E1229" s="287"/>
      <c r="F1229" s="298"/>
      <c r="G1229" s="299"/>
      <c r="H1229" s="207"/>
    </row>
    <row r="1230" spans="1:8" ht="15.75">
      <c r="A1230" s="286"/>
      <c r="B1230" s="306"/>
      <c r="C1230" s="288"/>
      <c r="D1230" s="289"/>
      <c r="E1230" s="297"/>
      <c r="F1230" s="272"/>
      <c r="H1230" s="213"/>
    </row>
    <row r="1231" spans="1:8" ht="15.75">
      <c r="A1231" s="218"/>
      <c r="B1231" s="288"/>
      <c r="C1231" s="288"/>
      <c r="D1231" s="289"/>
      <c r="E1231" s="297"/>
      <c r="F1231" s="272"/>
      <c r="H1231" s="213"/>
    </row>
    <row r="1232" spans="1:8" ht="15.75">
      <c r="A1232" s="286"/>
      <c r="B1232" s="172"/>
      <c r="C1232" s="172"/>
      <c r="D1232" s="218"/>
      <c r="E1232" s="218"/>
      <c r="F1232" s="172"/>
      <c r="H1232" s="213"/>
    </row>
    <row r="1233" spans="1:8" ht="15.75">
      <c r="A1233" s="218"/>
      <c r="B1233" s="288"/>
      <c r="C1233" s="288"/>
      <c r="D1233" s="289"/>
      <c r="E1233" s="297"/>
      <c r="F1233" s="285"/>
      <c r="H1233" s="213"/>
    </row>
    <row r="1234" spans="1:8" ht="15.75">
      <c r="A1234" s="286"/>
      <c r="B1234" s="288"/>
      <c r="C1234" s="288"/>
      <c r="D1234" s="289"/>
      <c r="E1234" s="297"/>
      <c r="F1234" s="285"/>
      <c r="H1234" s="213"/>
    </row>
    <row r="1235" spans="1:8" ht="15.75">
      <c r="A1235" s="218"/>
      <c r="C1235" s="288"/>
      <c r="D1235" s="289"/>
      <c r="E1235" s="290"/>
      <c r="F1235" s="285"/>
      <c r="H1235" s="213"/>
    </row>
    <row r="1236" spans="1:4" ht="15.75">
      <c r="A1236" s="286"/>
      <c r="D1236" s="289"/>
    </row>
    <row r="1237" spans="1:8" ht="15.75">
      <c r="A1237" s="218"/>
      <c r="B1237" s="288"/>
      <c r="C1237" s="288"/>
      <c r="D1237" s="289"/>
      <c r="E1237" s="290"/>
      <c r="F1237" s="285"/>
      <c r="H1237" s="213"/>
    </row>
    <row r="1238" spans="1:8" ht="15.75">
      <c r="A1238" s="286"/>
      <c r="B1238" s="288"/>
      <c r="C1238" s="288"/>
      <c r="D1238" s="289"/>
      <c r="E1238" s="290"/>
      <c r="F1238" s="285"/>
      <c r="H1238" s="213"/>
    </row>
    <row r="1239" spans="1:8" ht="15.75">
      <c r="A1239" s="218"/>
      <c r="B1239" s="288"/>
      <c r="C1239" s="288"/>
      <c r="D1239" s="289"/>
      <c r="E1239" s="290"/>
      <c r="F1239" s="285"/>
      <c r="H1239" s="213"/>
    </row>
    <row r="1240" spans="1:8" ht="15.75">
      <c r="A1240" s="286"/>
      <c r="B1240" s="288"/>
      <c r="C1240" s="288"/>
      <c r="D1240" s="289"/>
      <c r="E1240" s="290"/>
      <c r="F1240" s="285"/>
      <c r="H1240" s="213"/>
    </row>
    <row r="1241" spans="1:8" ht="15.75">
      <c r="A1241" s="218"/>
      <c r="B1241" s="294"/>
      <c r="C1241" s="288"/>
      <c r="D1241" s="289"/>
      <c r="E1241" s="290"/>
      <c r="F1241" s="285"/>
      <c r="H1241" s="213"/>
    </row>
    <row r="1242" spans="1:8" ht="15.75">
      <c r="A1242" s="286"/>
      <c r="B1242" s="304"/>
      <c r="C1242" s="288"/>
      <c r="D1242" s="289"/>
      <c r="E1242" s="297"/>
      <c r="G1242" s="305"/>
      <c r="H1242" s="303"/>
    </row>
    <row r="1243" spans="1:8" ht="15.75">
      <c r="A1243" s="218"/>
      <c r="B1243" s="306"/>
      <c r="C1243" s="288"/>
      <c r="D1243" s="289"/>
      <c r="E1243" s="297"/>
      <c r="F1243" s="307"/>
      <c r="G1243" s="298"/>
      <c r="H1243" s="298"/>
    </row>
    <row r="1244" spans="1:8" ht="15.75">
      <c r="A1244" s="286"/>
      <c r="B1244" s="308"/>
      <c r="C1244" s="309"/>
      <c r="D1244" s="310"/>
      <c r="E1244" s="311"/>
      <c r="F1244" s="312"/>
      <c r="G1244" s="313"/>
      <c r="H1244" s="207"/>
    </row>
    <row r="1245" spans="1:5" ht="15.75">
      <c r="A1245" s="286"/>
      <c r="D1245" s="289"/>
      <c r="E1245" s="290"/>
    </row>
    <row r="1246" spans="1:4" ht="15.75">
      <c r="A1246" s="218"/>
      <c r="D1246" s="289"/>
    </row>
    <row r="1247" spans="1:8" ht="15.75">
      <c r="A1247" s="218"/>
      <c r="B1247" s="291"/>
      <c r="E1247" s="287"/>
      <c r="F1247" s="298"/>
      <c r="G1247" s="299"/>
      <c r="H1247" s="207"/>
    </row>
    <row r="1248" spans="1:8" ht="15.75">
      <c r="A1248" s="286"/>
      <c r="B1248" s="306"/>
      <c r="C1248" s="288"/>
      <c r="D1248" s="289"/>
      <c r="E1248" s="297"/>
      <c r="F1248" s="272"/>
      <c r="H1248" s="213"/>
    </row>
    <row r="1249" spans="1:8" ht="15.75">
      <c r="A1249" s="218"/>
      <c r="B1249" s="288"/>
      <c r="C1249" s="288"/>
      <c r="D1249" s="289"/>
      <c r="E1249" s="297"/>
      <c r="F1249" s="272"/>
      <c r="H1249" s="213"/>
    </row>
    <row r="1250" spans="1:8" ht="15.75">
      <c r="A1250" s="286"/>
      <c r="B1250" s="172"/>
      <c r="C1250" s="172"/>
      <c r="D1250" s="218"/>
      <c r="E1250" s="218"/>
      <c r="F1250" s="172"/>
      <c r="H1250" s="213"/>
    </row>
    <row r="1251" spans="1:8" ht="15.75">
      <c r="A1251" s="218"/>
      <c r="B1251" s="288"/>
      <c r="C1251" s="288"/>
      <c r="D1251" s="289"/>
      <c r="E1251" s="297"/>
      <c r="F1251" s="285"/>
      <c r="H1251" s="213"/>
    </row>
    <row r="1252" spans="1:8" ht="15.75">
      <c r="A1252" s="286"/>
      <c r="B1252" s="288"/>
      <c r="C1252" s="288"/>
      <c r="D1252" s="289"/>
      <c r="E1252" s="297"/>
      <c r="F1252" s="285"/>
      <c r="H1252" s="213"/>
    </row>
    <row r="1253" spans="1:8" ht="15.75">
      <c r="A1253" s="218"/>
      <c r="C1253" s="288"/>
      <c r="D1253" s="289"/>
      <c r="E1253" s="290"/>
      <c r="F1253" s="285"/>
      <c r="H1253" s="213"/>
    </row>
    <row r="1254" spans="1:4" ht="15.75">
      <c r="A1254" s="286"/>
      <c r="D1254" s="289"/>
    </row>
    <row r="1255" spans="1:8" ht="15.75">
      <c r="A1255" s="218"/>
      <c r="B1255" s="288"/>
      <c r="C1255" s="288"/>
      <c r="D1255" s="289"/>
      <c r="E1255" s="290"/>
      <c r="F1255" s="285"/>
      <c r="H1255" s="213"/>
    </row>
    <row r="1256" spans="1:8" ht="15.75">
      <c r="A1256" s="286"/>
      <c r="B1256" s="288"/>
      <c r="C1256" s="288"/>
      <c r="D1256" s="289"/>
      <c r="E1256" s="290"/>
      <c r="F1256" s="285"/>
      <c r="H1256" s="213"/>
    </row>
    <row r="1257" spans="1:8" ht="15.75" hidden="1">
      <c r="A1257" s="218"/>
      <c r="B1257" s="288"/>
      <c r="C1257" s="288"/>
      <c r="D1257" s="289"/>
      <c r="E1257" s="290"/>
      <c r="F1257" s="285"/>
      <c r="H1257" s="213"/>
    </row>
    <row r="1258" spans="1:8" ht="15.75" hidden="1">
      <c r="A1258" s="286"/>
      <c r="B1258" s="288"/>
      <c r="C1258" s="288"/>
      <c r="D1258" s="289"/>
      <c r="E1258" s="290"/>
      <c r="F1258" s="285"/>
      <c r="H1258" s="213"/>
    </row>
    <row r="1259" spans="1:8" ht="15.75" hidden="1">
      <c r="A1259" s="218"/>
      <c r="B1259" s="294"/>
      <c r="C1259" s="288"/>
      <c r="D1259" s="289"/>
      <c r="E1259" s="290"/>
      <c r="F1259" s="285"/>
      <c r="H1259" s="213"/>
    </row>
    <row r="1260" spans="1:8" ht="15.75">
      <c r="A1260" s="286"/>
      <c r="B1260" s="304"/>
      <c r="C1260" s="288"/>
      <c r="D1260" s="289"/>
      <c r="E1260" s="297"/>
      <c r="G1260" s="305"/>
      <c r="H1260" s="303"/>
    </row>
    <row r="1261" spans="1:8" ht="15.75">
      <c r="A1261" s="218"/>
      <c r="B1261" s="306"/>
      <c r="C1261" s="288"/>
      <c r="D1261" s="289"/>
      <c r="E1261" s="297"/>
      <c r="F1261" s="307"/>
      <c r="G1261" s="298"/>
      <c r="H1261" s="298"/>
    </row>
    <row r="1262" spans="1:8" ht="15.75">
      <c r="A1262" s="286"/>
      <c r="B1262" s="308"/>
      <c r="C1262" s="309"/>
      <c r="D1262" s="310"/>
      <c r="E1262" s="311"/>
      <c r="F1262" s="312"/>
      <c r="G1262" s="313"/>
      <c r="H1262" s="207"/>
    </row>
    <row r="1263" spans="1:8" ht="15.75">
      <c r="A1263" s="218"/>
      <c r="B1263" s="288"/>
      <c r="C1263" s="288"/>
      <c r="D1263" s="289"/>
      <c r="E1263" s="290"/>
      <c r="F1263" s="314"/>
      <c r="H1263" s="213"/>
    </row>
    <row r="1265" spans="1:8" ht="15.75">
      <c r="A1265" s="218"/>
      <c r="B1265" s="291"/>
      <c r="E1265" s="287"/>
      <c r="F1265" s="298"/>
      <c r="G1265" s="299"/>
      <c r="H1265" s="207"/>
    </row>
    <row r="1266" spans="1:8" ht="15.75">
      <c r="A1266" s="286"/>
      <c r="B1266" s="306"/>
      <c r="C1266" s="288"/>
      <c r="D1266" s="289"/>
      <c r="E1266" s="297"/>
      <c r="F1266" s="272"/>
      <c r="H1266" s="213"/>
    </row>
    <row r="1267" spans="1:8" ht="15.75">
      <c r="A1267" s="218"/>
      <c r="B1267" s="288"/>
      <c r="C1267" s="288"/>
      <c r="D1267" s="289"/>
      <c r="E1267" s="297"/>
      <c r="F1267" s="272"/>
      <c r="H1267" s="213"/>
    </row>
    <row r="1268" spans="1:8" ht="15.75">
      <c r="A1268" s="286"/>
      <c r="B1268" s="172"/>
      <c r="C1268" s="172"/>
      <c r="D1268" s="218"/>
      <c r="E1268" s="218"/>
      <c r="F1268" s="172"/>
      <c r="H1268" s="213"/>
    </row>
    <row r="1269" spans="1:8" ht="15.75">
      <c r="A1269" s="218"/>
      <c r="B1269" s="288"/>
      <c r="C1269" s="288"/>
      <c r="D1269" s="289"/>
      <c r="E1269" s="297"/>
      <c r="F1269" s="285"/>
      <c r="H1269" s="213"/>
    </row>
    <row r="1270" spans="1:8" ht="15.75">
      <c r="A1270" s="286"/>
      <c r="B1270" s="288"/>
      <c r="C1270" s="288"/>
      <c r="D1270" s="289"/>
      <c r="E1270" s="297"/>
      <c r="F1270" s="285"/>
      <c r="H1270" s="213"/>
    </row>
    <row r="1271" spans="1:8" ht="15.75">
      <c r="A1271" s="218"/>
      <c r="B1271" s="288"/>
      <c r="C1271" s="288"/>
      <c r="D1271" s="289"/>
      <c r="E1271" s="297"/>
      <c r="F1271" s="285"/>
      <c r="H1271" s="213"/>
    </row>
    <row r="1272" spans="1:8" ht="15.75">
      <c r="A1272" s="286"/>
      <c r="C1272" s="288"/>
      <c r="D1272" s="289"/>
      <c r="E1272" s="290"/>
      <c r="F1272" s="285"/>
      <c r="H1272" s="213"/>
    </row>
    <row r="1273" spans="1:4" ht="15.75">
      <c r="A1273" s="218"/>
      <c r="D1273" s="289"/>
    </row>
    <row r="1274" spans="1:8" ht="15.75">
      <c r="A1274" s="286"/>
      <c r="B1274" s="288"/>
      <c r="C1274" s="288"/>
      <c r="D1274" s="289"/>
      <c r="E1274" s="290"/>
      <c r="F1274" s="285"/>
      <c r="H1274" s="213"/>
    </row>
    <row r="1275" spans="1:8" ht="15.75">
      <c r="A1275" s="218"/>
      <c r="B1275" s="288"/>
      <c r="C1275" s="288"/>
      <c r="D1275" s="289"/>
      <c r="E1275" s="290"/>
      <c r="F1275" s="285"/>
      <c r="H1275" s="213"/>
    </row>
    <row r="1276" spans="1:8" ht="15.75">
      <c r="A1276" s="286"/>
      <c r="B1276" s="288"/>
      <c r="C1276" s="288"/>
      <c r="D1276" s="289"/>
      <c r="E1276" s="290"/>
      <c r="F1276" s="285"/>
      <c r="H1276" s="213"/>
    </row>
    <row r="1277" spans="1:8" ht="15.75">
      <c r="A1277" s="218"/>
      <c r="B1277" s="288"/>
      <c r="C1277" s="288"/>
      <c r="D1277" s="289"/>
      <c r="E1277" s="290"/>
      <c r="F1277" s="285"/>
      <c r="H1277" s="213"/>
    </row>
    <row r="1278" spans="1:8" ht="15.75">
      <c r="A1278" s="286"/>
      <c r="B1278" s="294"/>
      <c r="C1278" s="288"/>
      <c r="D1278" s="289"/>
      <c r="E1278" s="290"/>
      <c r="F1278" s="285"/>
      <c r="H1278" s="213"/>
    </row>
    <row r="1279" spans="1:8" ht="15.75">
      <c r="A1279" s="286"/>
      <c r="B1279" s="304"/>
      <c r="C1279" s="288"/>
      <c r="D1279" s="289"/>
      <c r="E1279" s="297"/>
      <c r="G1279" s="305"/>
      <c r="H1279" s="303"/>
    </row>
    <row r="1280" spans="1:8" ht="15.75">
      <c r="A1280" s="218"/>
      <c r="B1280" s="306"/>
      <c r="C1280" s="288"/>
      <c r="D1280" s="289"/>
      <c r="E1280" s="297"/>
      <c r="F1280" s="307"/>
      <c r="G1280" s="298"/>
      <c r="H1280" s="298"/>
    </row>
    <row r="1281" spans="1:8" ht="15.75">
      <c r="A1281" s="286"/>
      <c r="B1281" s="308"/>
      <c r="C1281" s="309"/>
      <c r="D1281" s="310"/>
      <c r="E1281" s="311"/>
      <c r="F1281" s="312"/>
      <c r="G1281" s="313"/>
      <c r="H1281" s="207"/>
    </row>
    <row r="1282" spans="1:9" ht="15.75">
      <c r="A1282" s="315"/>
      <c r="B1282" s="294"/>
      <c r="C1282" s="294"/>
      <c r="D1282" s="316"/>
      <c r="E1282" s="317"/>
      <c r="F1282" s="318"/>
      <c r="G1282" s="319"/>
      <c r="H1282" s="320"/>
      <c r="I1282" s="321"/>
    </row>
    <row r="1283" spans="1:9" ht="15.75">
      <c r="A1283" s="315"/>
      <c r="B1283" s="294"/>
      <c r="C1283" s="294"/>
      <c r="D1283" s="316"/>
      <c r="E1283" s="317"/>
      <c r="F1283" s="318"/>
      <c r="G1283" s="319"/>
      <c r="H1283" s="320"/>
      <c r="I1283" s="321"/>
    </row>
    <row r="1284" spans="1:9" ht="15.75">
      <c r="A1284" s="315"/>
      <c r="B1284" s="291"/>
      <c r="C1284" s="292"/>
      <c r="D1284" s="322"/>
      <c r="E1284" s="323"/>
      <c r="F1284" s="324"/>
      <c r="G1284" s="325"/>
      <c r="H1284" s="326"/>
      <c r="I1284" s="321"/>
    </row>
    <row r="1285" spans="1:9" ht="15.75">
      <c r="A1285" s="327"/>
      <c r="B1285" s="306"/>
      <c r="C1285" s="294"/>
      <c r="D1285" s="316"/>
      <c r="E1285" s="328"/>
      <c r="F1285" s="329"/>
      <c r="G1285" s="319"/>
      <c r="H1285" s="320"/>
      <c r="I1285" s="321"/>
    </row>
    <row r="1286" spans="1:9" ht="15.75">
      <c r="A1286" s="315"/>
      <c r="B1286" s="294"/>
      <c r="C1286" s="294"/>
      <c r="D1286" s="316"/>
      <c r="E1286" s="328"/>
      <c r="F1286" s="329"/>
      <c r="G1286" s="319"/>
      <c r="H1286" s="320"/>
      <c r="I1286" s="321"/>
    </row>
    <row r="1287" spans="1:9" ht="15.75">
      <c r="A1287" s="327"/>
      <c r="B1287" s="321"/>
      <c r="C1287" s="321"/>
      <c r="D1287" s="315"/>
      <c r="E1287" s="315"/>
      <c r="F1287" s="321"/>
      <c r="G1287" s="319"/>
      <c r="H1287" s="320"/>
      <c r="I1287" s="321"/>
    </row>
    <row r="1288" spans="1:9" ht="15.75">
      <c r="A1288" s="315"/>
      <c r="B1288" s="294"/>
      <c r="C1288" s="294"/>
      <c r="D1288" s="316"/>
      <c r="E1288" s="328"/>
      <c r="F1288" s="318"/>
      <c r="G1288" s="319"/>
      <c r="H1288" s="320"/>
      <c r="I1288" s="321"/>
    </row>
    <row r="1289" spans="1:9" ht="15.75">
      <c r="A1289" s="327"/>
      <c r="B1289" s="294"/>
      <c r="C1289" s="294"/>
      <c r="D1289" s="316"/>
      <c r="E1289" s="328"/>
      <c r="F1289" s="318"/>
      <c r="G1289" s="319"/>
      <c r="H1289" s="320"/>
      <c r="I1289" s="321"/>
    </row>
    <row r="1290" spans="1:9" ht="15.75">
      <c r="A1290" s="315"/>
      <c r="B1290" s="294"/>
      <c r="C1290" s="294"/>
      <c r="D1290" s="316"/>
      <c r="E1290" s="328"/>
      <c r="F1290" s="318"/>
      <c r="G1290" s="319"/>
      <c r="H1290" s="320"/>
      <c r="I1290" s="321"/>
    </row>
    <row r="1291" spans="1:9" ht="15.75">
      <c r="A1291" s="327"/>
      <c r="B1291" s="292"/>
      <c r="C1291" s="294"/>
      <c r="D1291" s="316"/>
      <c r="E1291" s="317"/>
      <c r="F1291" s="318"/>
      <c r="G1291" s="319"/>
      <c r="H1291" s="320"/>
      <c r="I1291" s="321"/>
    </row>
    <row r="1292" spans="1:9" ht="15.75">
      <c r="A1292" s="315"/>
      <c r="B1292" s="292"/>
      <c r="C1292" s="292"/>
      <c r="D1292" s="316"/>
      <c r="E1292" s="322"/>
      <c r="F1292" s="319"/>
      <c r="G1292" s="319"/>
      <c r="H1292" s="319"/>
      <c r="I1292" s="321"/>
    </row>
    <row r="1293" spans="1:9" ht="15.75">
      <c r="A1293" s="327"/>
      <c r="B1293" s="294"/>
      <c r="C1293" s="294"/>
      <c r="D1293" s="316"/>
      <c r="E1293" s="317"/>
      <c r="F1293" s="318"/>
      <c r="G1293" s="319"/>
      <c r="H1293" s="320"/>
      <c r="I1293" s="321"/>
    </row>
    <row r="1294" spans="1:9" ht="15.75">
      <c r="A1294" s="315"/>
      <c r="B1294" s="294"/>
      <c r="C1294" s="294"/>
      <c r="D1294" s="316"/>
      <c r="E1294" s="317"/>
      <c r="F1294" s="318"/>
      <c r="G1294" s="319"/>
      <c r="H1294" s="320"/>
      <c r="I1294" s="321"/>
    </row>
    <row r="1295" spans="1:9" ht="15.75">
      <c r="A1295" s="327"/>
      <c r="B1295" s="294"/>
      <c r="C1295" s="294"/>
      <c r="D1295" s="316"/>
      <c r="E1295" s="317"/>
      <c r="F1295" s="318"/>
      <c r="G1295" s="319"/>
      <c r="H1295" s="320"/>
      <c r="I1295" s="321"/>
    </row>
    <row r="1296" spans="1:9" ht="15.75">
      <c r="A1296" s="315"/>
      <c r="B1296" s="294"/>
      <c r="C1296" s="294"/>
      <c r="D1296" s="316"/>
      <c r="E1296" s="317"/>
      <c r="F1296" s="318"/>
      <c r="G1296" s="319"/>
      <c r="H1296" s="320"/>
      <c r="I1296" s="321"/>
    </row>
    <row r="1297" spans="1:9" ht="15.75">
      <c r="A1297" s="327"/>
      <c r="B1297" s="294"/>
      <c r="C1297" s="294"/>
      <c r="D1297" s="316"/>
      <c r="E1297" s="317"/>
      <c r="F1297" s="318"/>
      <c r="G1297" s="319"/>
      <c r="H1297" s="320"/>
      <c r="I1297" s="321"/>
    </row>
    <row r="1298" spans="1:9" ht="15.75">
      <c r="A1298" s="327"/>
      <c r="B1298" s="330"/>
      <c r="C1298" s="294"/>
      <c r="D1298" s="316"/>
      <c r="E1298" s="328"/>
      <c r="F1298" s="319"/>
      <c r="G1298" s="331"/>
      <c r="H1298" s="332"/>
      <c r="I1298" s="321"/>
    </row>
    <row r="1299" spans="1:9" ht="15.75">
      <c r="A1299" s="315"/>
      <c r="B1299" s="306"/>
      <c r="C1299" s="294"/>
      <c r="D1299" s="316"/>
      <c r="E1299" s="328"/>
      <c r="F1299" s="333"/>
      <c r="G1299" s="324"/>
      <c r="H1299" s="324"/>
      <c r="I1299" s="321"/>
    </row>
    <row r="1300" spans="1:9" ht="15.75">
      <c r="A1300" s="327"/>
      <c r="B1300" s="308"/>
      <c r="C1300" s="334"/>
      <c r="D1300" s="335"/>
      <c r="E1300" s="336"/>
      <c r="F1300" s="337"/>
      <c r="G1300" s="338"/>
      <c r="H1300" s="326"/>
      <c r="I1300" s="321"/>
    </row>
    <row r="1301" spans="1:9" ht="15.75">
      <c r="A1301" s="327"/>
      <c r="B1301" s="292"/>
      <c r="C1301" s="294"/>
      <c r="D1301" s="316"/>
      <c r="E1301" s="317"/>
      <c r="F1301" s="318"/>
      <c r="G1301" s="319"/>
      <c r="H1301" s="320"/>
      <c r="I1301" s="321"/>
    </row>
    <row r="1302" spans="1:9" ht="15.75">
      <c r="A1302" s="315"/>
      <c r="B1302" s="292"/>
      <c r="C1302" s="294"/>
      <c r="D1302" s="316"/>
      <c r="E1302" s="317"/>
      <c r="F1302" s="318"/>
      <c r="G1302" s="319"/>
      <c r="H1302" s="320"/>
      <c r="I1302" s="321"/>
    </row>
    <row r="1303" spans="1:9" ht="15.75">
      <c r="A1303" s="327"/>
      <c r="B1303" s="334"/>
      <c r="C1303" s="339"/>
      <c r="D1303" s="316"/>
      <c r="E1303" s="317"/>
      <c r="F1303" s="318"/>
      <c r="G1303" s="319"/>
      <c r="H1303" s="320"/>
      <c r="I1303" s="321"/>
    </row>
    <row r="1304" spans="1:9" ht="15.75">
      <c r="A1304" s="327"/>
      <c r="B1304" s="292"/>
      <c r="C1304" s="294"/>
      <c r="D1304" s="316"/>
      <c r="E1304" s="317"/>
      <c r="F1304" s="318"/>
      <c r="G1304" s="319"/>
      <c r="H1304" s="320"/>
      <c r="I1304" s="321"/>
    </row>
    <row r="1305" spans="1:8" ht="15.75">
      <c r="A1305" s="218"/>
      <c r="C1305" s="288"/>
      <c r="D1305" s="289"/>
      <c r="E1305" s="290"/>
      <c r="F1305" s="285"/>
      <c r="H1305" s="213"/>
    </row>
    <row r="1306" spans="1:8" ht="15.75">
      <c r="A1306" s="286"/>
      <c r="C1306" s="288"/>
      <c r="D1306" s="289"/>
      <c r="E1306" s="290"/>
      <c r="F1306" s="285"/>
      <c r="H1306" s="213"/>
    </row>
    <row r="1307" spans="1:8" ht="15.75">
      <c r="A1307" s="218"/>
      <c r="C1307" s="288"/>
      <c r="D1307" s="289"/>
      <c r="E1307" s="290"/>
      <c r="F1307" s="285"/>
      <c r="H1307" s="213"/>
    </row>
    <row r="1308" spans="1:8" ht="15.75">
      <c r="A1308" s="218"/>
      <c r="C1308" s="288"/>
      <c r="D1308" s="289"/>
      <c r="E1308" s="290"/>
      <c r="F1308" s="285"/>
      <c r="H1308" s="213"/>
    </row>
    <row r="1309" spans="1:8" ht="15.75">
      <c r="A1309" s="286"/>
      <c r="C1309" s="288"/>
      <c r="D1309" s="289"/>
      <c r="E1309" s="290"/>
      <c r="F1309" s="285"/>
      <c r="H1309" s="213"/>
    </row>
    <row r="1310" spans="1:5" ht="15.75">
      <c r="A1310" s="218"/>
      <c r="D1310" s="289"/>
      <c r="E1310" s="290"/>
    </row>
    <row r="1311" spans="1:4" ht="15.75" hidden="1">
      <c r="A1311" s="218"/>
      <c r="D1311" s="289"/>
    </row>
    <row r="1312" spans="1:8" ht="15.75" hidden="1">
      <c r="A1312" s="286"/>
      <c r="B1312" s="288"/>
      <c r="C1312" s="288"/>
      <c r="D1312" s="289"/>
      <c r="E1312" s="290"/>
      <c r="F1312" s="285"/>
      <c r="H1312" s="213"/>
    </row>
    <row r="1313" spans="1:8" ht="15.75">
      <c r="A1313" s="218"/>
      <c r="B1313" s="288"/>
      <c r="C1313" s="288"/>
      <c r="D1313" s="289"/>
      <c r="E1313" s="290"/>
      <c r="F1313" s="285"/>
      <c r="H1313" s="213"/>
    </row>
    <row r="1314" spans="1:8" ht="15.75">
      <c r="A1314" s="218"/>
      <c r="B1314" s="288"/>
      <c r="C1314" s="288"/>
      <c r="D1314" s="289"/>
      <c r="E1314" s="290"/>
      <c r="F1314" s="285"/>
      <c r="H1314" s="213"/>
    </row>
    <row r="1315" spans="1:8" ht="15.75">
      <c r="A1315" s="286"/>
      <c r="B1315" s="288"/>
      <c r="C1315" s="288"/>
      <c r="D1315" s="289"/>
      <c r="E1315" s="290"/>
      <c r="F1315" s="285"/>
      <c r="H1315" s="213"/>
    </row>
    <row r="1316" spans="1:8" ht="15.75">
      <c r="A1316" s="218"/>
      <c r="B1316" s="294"/>
      <c r="C1316" s="288"/>
      <c r="D1316" s="289"/>
      <c r="E1316" s="290"/>
      <c r="F1316" s="285"/>
      <c r="H1316" s="213"/>
    </row>
    <row r="1317" spans="1:8" ht="15.75">
      <c r="A1317" s="218"/>
      <c r="B1317" s="304"/>
      <c r="C1317" s="288"/>
      <c r="D1317" s="289"/>
      <c r="E1317" s="297"/>
      <c r="G1317" s="305"/>
      <c r="H1317" s="303"/>
    </row>
    <row r="1318" spans="1:8" ht="15.75">
      <c r="A1318" s="286"/>
      <c r="B1318" s="306"/>
      <c r="C1318" s="288"/>
      <c r="D1318" s="289"/>
      <c r="E1318" s="297"/>
      <c r="F1318" s="307"/>
      <c r="G1318" s="298"/>
      <c r="H1318" s="298"/>
    </row>
    <row r="1319" spans="1:8" ht="15.75">
      <c r="A1319" s="218"/>
      <c r="B1319" s="308"/>
      <c r="C1319" s="309"/>
      <c r="D1319" s="310"/>
      <c r="E1319" s="311"/>
      <c r="F1319" s="312"/>
      <c r="G1319" s="313"/>
      <c r="H1319" s="207"/>
    </row>
    <row r="1321" ht="15.75">
      <c r="B1321" s="291"/>
    </row>
    <row r="1322" spans="1:8" ht="15.75">
      <c r="A1322" s="286"/>
      <c r="B1322" s="288"/>
      <c r="C1322" s="288"/>
      <c r="D1322" s="289"/>
      <c r="E1322" s="290"/>
      <c r="F1322" s="272"/>
      <c r="H1322" s="213"/>
    </row>
    <row r="1323" spans="1:8" ht="15.75">
      <c r="A1323" s="218"/>
      <c r="B1323" s="306"/>
      <c r="C1323" s="288"/>
      <c r="D1323" s="289"/>
      <c r="E1323" s="290"/>
      <c r="F1323" s="314"/>
      <c r="H1323" s="213"/>
    </row>
    <row r="1324" spans="1:8" ht="15.75">
      <c r="A1324" s="286"/>
      <c r="B1324" s="288"/>
      <c r="C1324" s="288"/>
      <c r="D1324" s="289"/>
      <c r="E1324" s="290"/>
      <c r="F1324" s="314"/>
      <c r="H1324" s="213"/>
    </row>
    <row r="1325" spans="1:8" ht="15.75">
      <c r="A1325" s="286"/>
      <c r="B1325" s="288"/>
      <c r="C1325" s="288"/>
      <c r="D1325" s="289"/>
      <c r="E1325" s="290"/>
      <c r="F1325" s="314"/>
      <c r="H1325" s="213"/>
    </row>
    <row r="1326" spans="1:8" ht="15.75">
      <c r="A1326" s="218"/>
      <c r="B1326" s="306"/>
      <c r="C1326" s="288"/>
      <c r="D1326" s="289"/>
      <c r="E1326" s="290"/>
      <c r="F1326" s="314"/>
      <c r="H1326" s="213"/>
    </row>
    <row r="1327" spans="1:8" ht="15.75">
      <c r="A1327" s="286"/>
      <c r="B1327" s="306"/>
      <c r="C1327" s="288"/>
      <c r="D1327" s="289"/>
      <c r="E1327" s="290"/>
      <c r="F1327" s="314"/>
      <c r="H1327" s="213"/>
    </row>
    <row r="1328" spans="1:8" ht="15.75">
      <c r="A1328" s="286"/>
      <c r="B1328" s="288"/>
      <c r="C1328" s="288"/>
      <c r="D1328" s="289"/>
      <c r="E1328" s="297"/>
      <c r="F1328" s="285"/>
      <c r="H1328" s="213"/>
    </row>
    <row r="1329" spans="1:8" ht="15.75">
      <c r="A1329" s="218"/>
      <c r="B1329" s="288"/>
      <c r="C1329" s="288"/>
      <c r="D1329" s="289"/>
      <c r="E1329" s="297"/>
      <c r="F1329" s="285"/>
      <c r="H1329" s="213"/>
    </row>
    <row r="1330" spans="1:8" ht="15.75">
      <c r="A1330" s="286"/>
      <c r="B1330" s="288"/>
      <c r="C1330" s="288"/>
      <c r="D1330" s="289"/>
      <c r="E1330" s="297"/>
      <c r="F1330" s="285"/>
      <c r="H1330" s="213"/>
    </row>
    <row r="1331" spans="1:8" ht="15.75">
      <c r="A1331" s="286"/>
      <c r="B1331" s="288"/>
      <c r="C1331" s="288"/>
      <c r="D1331" s="289"/>
      <c r="E1331" s="297"/>
      <c r="F1331" s="285"/>
      <c r="H1331" s="213"/>
    </row>
    <row r="1332" spans="1:8" ht="15.75">
      <c r="A1332" s="218"/>
      <c r="C1332" s="288"/>
      <c r="D1332" s="289"/>
      <c r="E1332" s="290"/>
      <c r="F1332" s="285"/>
      <c r="H1332" s="213"/>
    </row>
    <row r="1333" spans="1:8" ht="15.75">
      <c r="A1333" s="286"/>
      <c r="C1333" s="288"/>
      <c r="D1333" s="289"/>
      <c r="E1333" s="290"/>
      <c r="F1333" s="285"/>
      <c r="H1333" s="213"/>
    </row>
    <row r="1334" spans="1:8" ht="15.75">
      <c r="A1334" s="286"/>
      <c r="C1334" s="288"/>
      <c r="D1334" s="289"/>
      <c r="E1334" s="290"/>
      <c r="F1334" s="285"/>
      <c r="H1334" s="213"/>
    </row>
    <row r="1335" spans="1:8" ht="15.75">
      <c r="A1335" s="218"/>
      <c r="C1335" s="288"/>
      <c r="D1335" s="289"/>
      <c r="E1335" s="290"/>
      <c r="F1335" s="285"/>
      <c r="H1335" s="213"/>
    </row>
    <row r="1336" spans="1:8" ht="15.75">
      <c r="A1336" s="286"/>
      <c r="C1336" s="288"/>
      <c r="D1336" s="289"/>
      <c r="E1336" s="290"/>
      <c r="F1336" s="285"/>
      <c r="H1336" s="213"/>
    </row>
    <row r="1337" spans="1:8" ht="15.75">
      <c r="A1337" s="286"/>
      <c r="C1337" s="288"/>
      <c r="D1337" s="289"/>
      <c r="E1337" s="290"/>
      <c r="F1337" s="285"/>
      <c r="H1337" s="213"/>
    </row>
    <row r="1338" spans="1:8" ht="15.75">
      <c r="A1338" s="218"/>
      <c r="C1338" s="288"/>
      <c r="D1338" s="289"/>
      <c r="E1338" s="290"/>
      <c r="F1338" s="285"/>
      <c r="H1338" s="213"/>
    </row>
    <row r="1339" spans="1:8" ht="15.75">
      <c r="A1339" s="286"/>
      <c r="C1339" s="288"/>
      <c r="D1339" s="289"/>
      <c r="E1339" s="290"/>
      <c r="F1339" s="285"/>
      <c r="H1339" s="213"/>
    </row>
    <row r="1340" spans="1:8" ht="15.75">
      <c r="A1340" s="286"/>
      <c r="C1340" s="288"/>
      <c r="D1340" s="289"/>
      <c r="E1340" s="290"/>
      <c r="F1340" s="285"/>
      <c r="H1340" s="213"/>
    </row>
    <row r="1341" spans="1:5" ht="15.75">
      <c r="A1341" s="218"/>
      <c r="D1341" s="289"/>
      <c r="E1341" s="290"/>
    </row>
    <row r="1342" spans="1:4" ht="15.75">
      <c r="A1342" s="286"/>
      <c r="D1342" s="289"/>
    </row>
    <row r="1343" spans="1:8" ht="15.75">
      <c r="A1343" s="286"/>
      <c r="B1343" s="288"/>
      <c r="C1343" s="288"/>
      <c r="D1343" s="289"/>
      <c r="E1343" s="290"/>
      <c r="F1343" s="285"/>
      <c r="H1343" s="213"/>
    </row>
    <row r="1344" spans="1:8" ht="15.75">
      <c r="A1344" s="218"/>
      <c r="B1344" s="288"/>
      <c r="C1344" s="288"/>
      <c r="D1344" s="289"/>
      <c r="E1344" s="290"/>
      <c r="F1344" s="285"/>
      <c r="H1344" s="213"/>
    </row>
    <row r="1345" spans="1:8" ht="15.75">
      <c r="A1345" s="286"/>
      <c r="B1345" s="288"/>
      <c r="C1345" s="288"/>
      <c r="D1345" s="289"/>
      <c r="E1345" s="290"/>
      <c r="F1345" s="285"/>
      <c r="H1345" s="213"/>
    </row>
    <row r="1346" spans="1:8" ht="15.75">
      <c r="A1346" s="286"/>
      <c r="B1346" s="288"/>
      <c r="C1346" s="288"/>
      <c r="D1346" s="289"/>
      <c r="E1346" s="290"/>
      <c r="F1346" s="285"/>
      <c r="H1346" s="213"/>
    </row>
    <row r="1347" spans="1:8" ht="15.75">
      <c r="A1347" s="218"/>
      <c r="B1347" s="294"/>
      <c r="C1347" s="288"/>
      <c r="D1347" s="289"/>
      <c r="E1347" s="290"/>
      <c r="F1347" s="285"/>
      <c r="H1347" s="213"/>
    </row>
    <row r="1348" spans="1:8" ht="15.75">
      <c r="A1348" s="286"/>
      <c r="B1348" s="304"/>
      <c r="C1348" s="288"/>
      <c r="D1348" s="289"/>
      <c r="E1348" s="297"/>
      <c r="G1348" s="305"/>
      <c r="H1348" s="303"/>
    </row>
    <row r="1349" spans="1:8" ht="15.75">
      <c r="A1349" s="286"/>
      <c r="B1349" s="306"/>
      <c r="C1349" s="288"/>
      <c r="D1349" s="289"/>
      <c r="E1349" s="297"/>
      <c r="F1349" s="307"/>
      <c r="G1349" s="298"/>
      <c r="H1349" s="298"/>
    </row>
    <row r="1350" spans="1:8" ht="15.75">
      <c r="A1350" s="218"/>
      <c r="B1350" s="308"/>
      <c r="C1350" s="309"/>
      <c r="D1350" s="310"/>
      <c r="E1350" s="311"/>
      <c r="F1350" s="312"/>
      <c r="G1350" s="313"/>
      <c r="H1350" s="207"/>
    </row>
    <row r="1352" spans="1:8" ht="15.75">
      <c r="A1352" s="218"/>
      <c r="B1352" s="291"/>
      <c r="E1352" s="287"/>
      <c r="F1352" s="298"/>
      <c r="G1352" s="299"/>
      <c r="H1352" s="207"/>
    </row>
    <row r="1353" spans="1:8" ht="15.75">
      <c r="A1353" s="286"/>
      <c r="B1353" s="306"/>
      <c r="C1353" s="288"/>
      <c r="D1353" s="289"/>
      <c r="E1353" s="297"/>
      <c r="F1353" s="285"/>
      <c r="H1353" s="213"/>
    </row>
    <row r="1354" spans="1:8" ht="15.75">
      <c r="A1354" s="218"/>
      <c r="B1354" s="288"/>
      <c r="C1354" s="288"/>
      <c r="D1354" s="289"/>
      <c r="E1354" s="297"/>
      <c r="F1354" s="285"/>
      <c r="H1354" s="213"/>
    </row>
    <row r="1355" spans="1:8" ht="15.75">
      <c r="A1355" s="286"/>
      <c r="B1355" s="288"/>
      <c r="C1355" s="288"/>
      <c r="D1355" s="289"/>
      <c r="E1355" s="297"/>
      <c r="F1355" s="285"/>
      <c r="H1355" s="213"/>
    </row>
    <row r="1356" spans="1:8" ht="15.75">
      <c r="A1356" s="218"/>
      <c r="C1356" s="288"/>
      <c r="D1356" s="289"/>
      <c r="E1356" s="290"/>
      <c r="F1356" s="285"/>
      <c r="H1356" s="213"/>
    </row>
    <row r="1357" spans="1:8" ht="15.75">
      <c r="A1357" s="286"/>
      <c r="C1357" s="288"/>
      <c r="D1357" s="289"/>
      <c r="E1357" s="290"/>
      <c r="F1357" s="285"/>
      <c r="H1357" s="213"/>
    </row>
    <row r="1358" spans="1:5" ht="15.75">
      <c r="A1358" s="218"/>
      <c r="D1358" s="289"/>
      <c r="E1358" s="290"/>
    </row>
    <row r="1359" spans="1:4" ht="15.75">
      <c r="A1359" s="286"/>
      <c r="D1359" s="289"/>
    </row>
    <row r="1360" spans="1:8" ht="15.75">
      <c r="A1360" s="218"/>
      <c r="B1360" s="288"/>
      <c r="C1360" s="288"/>
      <c r="D1360" s="289"/>
      <c r="E1360" s="290"/>
      <c r="F1360" s="285"/>
      <c r="H1360" s="213"/>
    </row>
    <row r="1361" spans="1:8" ht="15.75">
      <c r="A1361" s="286"/>
      <c r="B1361" s="288"/>
      <c r="C1361" s="288"/>
      <c r="D1361" s="289"/>
      <c r="E1361" s="290"/>
      <c r="F1361" s="285"/>
      <c r="H1361" s="213"/>
    </row>
    <row r="1362" spans="1:8" ht="15.75">
      <c r="A1362" s="218"/>
      <c r="B1362" s="288"/>
      <c r="C1362" s="288"/>
      <c r="D1362" s="289"/>
      <c r="E1362" s="290"/>
      <c r="F1362" s="285"/>
      <c r="H1362" s="213"/>
    </row>
    <row r="1363" spans="1:8" ht="15.75">
      <c r="A1363" s="286"/>
      <c r="B1363" s="288"/>
      <c r="C1363" s="288"/>
      <c r="D1363" s="289"/>
      <c r="E1363" s="290"/>
      <c r="F1363" s="285"/>
      <c r="H1363" s="213"/>
    </row>
    <row r="1364" spans="1:8" ht="15.75">
      <c r="A1364" s="218"/>
      <c r="B1364" s="294"/>
      <c r="C1364" s="288"/>
      <c r="D1364" s="289"/>
      <c r="E1364" s="290"/>
      <c r="F1364" s="285"/>
      <c r="H1364" s="213"/>
    </row>
    <row r="1365" spans="1:8" ht="15.75">
      <c r="A1365" s="172"/>
      <c r="B1365" s="304"/>
      <c r="C1365" s="288"/>
      <c r="D1365" s="289"/>
      <c r="E1365" s="297"/>
      <c r="G1365" s="305"/>
      <c r="H1365" s="303"/>
    </row>
    <row r="1366" spans="1:8" ht="15.75">
      <c r="A1366" s="172"/>
      <c r="B1366" s="306"/>
      <c r="C1366" s="288"/>
      <c r="D1366" s="289"/>
      <c r="E1366" s="297"/>
      <c r="F1366" s="307"/>
      <c r="G1366" s="298"/>
      <c r="H1366" s="298"/>
    </row>
    <row r="1367" spans="1:8" ht="15.75">
      <c r="A1367" s="172"/>
      <c r="B1367" s="308"/>
      <c r="C1367" s="309"/>
      <c r="D1367" s="310"/>
      <c r="E1367" s="311"/>
      <c r="F1367" s="312"/>
      <c r="G1367" s="313"/>
      <c r="H1367" s="207"/>
    </row>
    <row r="1368" spans="5:8" ht="15.75">
      <c r="E1368" s="340"/>
      <c r="F1368" s="298"/>
      <c r="G1368" s="298"/>
      <c r="H1368" s="298"/>
    </row>
    <row r="1369" spans="1:8" ht="15.75">
      <c r="A1369" s="218"/>
      <c r="B1369" s="291"/>
      <c r="E1369" s="287"/>
      <c r="F1369" s="298"/>
      <c r="G1369" s="299"/>
      <c r="H1369" s="207"/>
    </row>
    <row r="1370" spans="1:8" ht="15.75">
      <c r="A1370" s="286"/>
      <c r="B1370" s="306"/>
      <c r="C1370" s="288"/>
      <c r="D1370" s="289"/>
      <c r="E1370" s="297"/>
      <c r="F1370" s="285"/>
      <c r="H1370" s="213"/>
    </row>
    <row r="1371" spans="1:8" ht="15.75">
      <c r="A1371" s="218"/>
      <c r="B1371" s="306"/>
      <c r="C1371" s="288"/>
      <c r="D1371" s="289"/>
      <c r="E1371" s="297"/>
      <c r="F1371" s="285"/>
      <c r="H1371" s="213"/>
    </row>
    <row r="1372" spans="1:8" ht="15.75">
      <c r="A1372" s="286"/>
      <c r="B1372" s="288"/>
      <c r="C1372" s="288"/>
      <c r="D1372" s="289"/>
      <c r="E1372" s="297"/>
      <c r="F1372" s="285"/>
      <c r="H1372" s="213"/>
    </row>
    <row r="1373" spans="1:8" ht="15.75">
      <c r="A1373" s="218"/>
      <c r="B1373" s="288"/>
      <c r="C1373" s="288"/>
      <c r="D1373" s="289"/>
      <c r="E1373" s="297"/>
      <c r="F1373" s="285"/>
      <c r="H1373" s="213"/>
    </row>
    <row r="1374" spans="1:8" ht="15.75">
      <c r="A1374" s="286"/>
      <c r="C1374" s="288"/>
      <c r="D1374" s="289"/>
      <c r="E1374" s="290"/>
      <c r="F1374" s="285"/>
      <c r="H1374" s="213"/>
    </row>
    <row r="1375" spans="1:8" ht="15.75">
      <c r="A1375" s="218"/>
      <c r="C1375" s="288"/>
      <c r="D1375" s="289"/>
      <c r="E1375" s="290"/>
      <c r="F1375" s="285"/>
      <c r="H1375" s="213"/>
    </row>
    <row r="1376" spans="1:5" ht="15.75">
      <c r="A1376" s="286"/>
      <c r="D1376" s="289"/>
      <c r="E1376" s="290"/>
    </row>
    <row r="1377" spans="1:4" ht="15.75">
      <c r="A1377" s="218"/>
      <c r="D1377" s="289"/>
    </row>
    <row r="1378" spans="1:8" ht="15.75">
      <c r="A1378" s="286"/>
      <c r="B1378" s="288"/>
      <c r="C1378" s="288"/>
      <c r="D1378" s="289"/>
      <c r="E1378" s="290"/>
      <c r="F1378" s="285"/>
      <c r="H1378" s="213"/>
    </row>
    <row r="1379" spans="1:8" ht="15.75">
      <c r="A1379" s="218"/>
      <c r="B1379" s="288"/>
      <c r="C1379" s="288"/>
      <c r="D1379" s="289"/>
      <c r="E1379" s="290"/>
      <c r="F1379" s="285"/>
      <c r="H1379" s="213"/>
    </row>
    <row r="1380" spans="1:8" ht="15.75">
      <c r="A1380" s="286"/>
      <c r="B1380" s="288"/>
      <c r="C1380" s="288"/>
      <c r="D1380" s="289"/>
      <c r="E1380" s="290"/>
      <c r="F1380" s="285"/>
      <c r="H1380" s="213"/>
    </row>
    <row r="1381" spans="1:8" ht="15.75">
      <c r="A1381" s="218"/>
      <c r="B1381" s="288"/>
      <c r="C1381" s="288"/>
      <c r="D1381" s="289"/>
      <c r="E1381" s="290"/>
      <c r="F1381" s="285"/>
      <c r="H1381" s="213"/>
    </row>
    <row r="1382" spans="1:8" ht="15.75">
      <c r="A1382" s="286"/>
      <c r="B1382" s="294"/>
      <c r="C1382" s="288"/>
      <c r="D1382" s="289"/>
      <c r="E1382" s="290"/>
      <c r="F1382" s="285"/>
      <c r="H1382" s="213"/>
    </row>
    <row r="1383" spans="1:8" ht="15.75">
      <c r="A1383" s="172"/>
      <c r="B1383" s="304"/>
      <c r="C1383" s="288"/>
      <c r="D1383" s="289"/>
      <c r="E1383" s="297"/>
      <c r="G1383" s="305"/>
      <c r="H1383" s="303"/>
    </row>
    <row r="1384" spans="1:8" ht="15.75">
      <c r="A1384" s="172"/>
      <c r="B1384" s="306"/>
      <c r="C1384" s="288"/>
      <c r="D1384" s="289"/>
      <c r="E1384" s="297"/>
      <c r="F1384" s="307"/>
      <c r="G1384" s="298"/>
      <c r="H1384" s="298"/>
    </row>
    <row r="1385" spans="2:8" ht="15.75">
      <c r="B1385" s="308"/>
      <c r="C1385" s="309"/>
      <c r="D1385" s="310"/>
      <c r="E1385" s="311"/>
      <c r="F1385" s="312"/>
      <c r="G1385" s="313"/>
      <c r="H1385" s="207"/>
    </row>
    <row r="1529" spans="1:8" ht="15.75">
      <c r="A1529" s="172"/>
      <c r="E1529" s="340"/>
      <c r="F1529" s="298"/>
      <c r="G1529" s="298"/>
      <c r="H1529" s="298"/>
    </row>
    <row r="1530" spans="5:8" ht="15.75">
      <c r="E1530" s="340"/>
      <c r="F1530" s="298"/>
      <c r="G1530" s="298"/>
      <c r="H1530" s="298"/>
    </row>
    <row r="1531" spans="5:8" ht="15.75">
      <c r="E1531" s="340"/>
      <c r="F1531" s="298"/>
      <c r="G1531" s="298"/>
      <c r="H1531" s="298"/>
    </row>
    <row r="1532" spans="5:8" ht="15.75">
      <c r="E1532" s="340"/>
      <c r="F1532" s="298"/>
      <c r="G1532" s="298"/>
      <c r="H1532" s="298"/>
    </row>
    <row r="1533" spans="5:8" ht="15.75">
      <c r="E1533" s="340"/>
      <c r="F1533" s="298"/>
      <c r="G1533" s="298"/>
      <c r="H1533" s="298"/>
    </row>
    <row r="1534" spans="5:8" ht="15.75">
      <c r="E1534" s="340"/>
      <c r="F1534" s="298"/>
      <c r="G1534" s="298"/>
      <c r="H1534" s="298"/>
    </row>
    <row r="1535" spans="5:8" ht="15.75">
      <c r="E1535" s="340"/>
      <c r="F1535" s="298"/>
      <c r="G1535" s="298"/>
      <c r="H1535" s="298"/>
    </row>
    <row r="1536" spans="5:8" ht="15.75">
      <c r="E1536" s="340"/>
      <c r="F1536" s="298"/>
      <c r="G1536" s="298"/>
      <c r="H1536" s="298"/>
    </row>
    <row r="1537" spans="5:8" ht="15.75">
      <c r="E1537" s="340"/>
      <c r="F1537" s="298"/>
      <c r="G1537" s="298"/>
      <c r="H1537" s="298"/>
    </row>
    <row r="1538" spans="5:8" ht="15.75">
      <c r="E1538" s="340"/>
      <c r="F1538" s="298"/>
      <c r="G1538" s="298"/>
      <c r="H1538" s="298"/>
    </row>
    <row r="1539" spans="5:8" ht="15.75">
      <c r="E1539" s="340"/>
      <c r="F1539" s="298"/>
      <c r="G1539" s="298"/>
      <c r="H1539" s="298"/>
    </row>
    <row r="1540" spans="5:8" ht="15.75">
      <c r="E1540" s="340"/>
      <c r="F1540" s="298"/>
      <c r="G1540" s="298"/>
      <c r="H1540" s="298"/>
    </row>
    <row r="1541" spans="5:8" ht="15.75">
      <c r="E1541" s="340"/>
      <c r="F1541" s="298"/>
      <c r="G1541" s="298"/>
      <c r="H1541" s="298"/>
    </row>
    <row r="1542" spans="5:8" ht="15.75">
      <c r="E1542" s="340"/>
      <c r="F1542" s="298"/>
      <c r="G1542" s="298"/>
      <c r="H1542" s="298"/>
    </row>
    <row r="1543" spans="5:8" ht="15.75">
      <c r="E1543" s="340"/>
      <c r="F1543" s="298"/>
      <c r="G1543" s="298"/>
      <c r="H1543" s="298"/>
    </row>
    <row r="1544" spans="5:8" ht="15.75">
      <c r="E1544" s="340"/>
      <c r="F1544" s="298"/>
      <c r="G1544" s="298"/>
      <c r="H1544" s="298"/>
    </row>
    <row r="1545" spans="5:8" ht="15.75">
      <c r="E1545" s="340"/>
      <c r="F1545" s="298"/>
      <c r="G1545" s="298"/>
      <c r="H1545" s="298"/>
    </row>
    <row r="1546" spans="5:8" ht="15.75">
      <c r="E1546" s="340"/>
      <c r="F1546" s="298"/>
      <c r="G1546" s="298"/>
      <c r="H1546" s="298"/>
    </row>
    <row r="1547" spans="5:8" ht="15.75">
      <c r="E1547" s="340"/>
      <c r="F1547" s="298"/>
      <c r="G1547" s="298"/>
      <c r="H1547" s="298"/>
    </row>
    <row r="1548" spans="5:8" ht="15.75">
      <c r="E1548" s="340"/>
      <c r="F1548" s="298"/>
      <c r="G1548" s="298"/>
      <c r="H1548" s="298"/>
    </row>
    <row r="1549" spans="5:8" ht="15.75">
      <c r="E1549" s="340"/>
      <c r="F1549" s="298"/>
      <c r="G1549" s="298"/>
      <c r="H1549" s="298"/>
    </row>
    <row r="1550" spans="5:8" ht="15.75">
      <c r="E1550" s="340"/>
      <c r="F1550" s="298"/>
      <c r="G1550" s="298"/>
      <c r="H1550" s="298"/>
    </row>
    <row r="1551" spans="5:8" ht="15.75">
      <c r="E1551" s="340"/>
      <c r="F1551" s="298"/>
      <c r="G1551" s="298"/>
      <c r="H1551" s="298"/>
    </row>
    <row r="1552" spans="5:8" ht="15.75">
      <c r="E1552" s="340"/>
      <c r="F1552" s="298"/>
      <c r="G1552" s="298"/>
      <c r="H1552" s="298"/>
    </row>
    <row r="1553" spans="5:8" ht="15.75">
      <c r="E1553" s="340"/>
      <c r="F1553" s="298"/>
      <c r="G1553" s="298"/>
      <c r="H1553" s="298"/>
    </row>
    <row r="1554" spans="5:8" ht="15.75">
      <c r="E1554" s="340"/>
      <c r="F1554" s="298"/>
      <c r="G1554" s="298"/>
      <c r="H1554" s="298"/>
    </row>
    <row r="1555" spans="5:8" ht="15.75">
      <c r="E1555" s="340"/>
      <c r="F1555" s="298"/>
      <c r="G1555" s="298"/>
      <c r="H1555" s="298"/>
    </row>
    <row r="1556" spans="5:8" ht="15.75">
      <c r="E1556" s="340"/>
      <c r="F1556" s="298"/>
      <c r="G1556" s="298"/>
      <c r="H1556" s="298"/>
    </row>
    <row r="1557" spans="5:8" ht="15.75">
      <c r="E1557" s="340"/>
      <c r="F1557" s="298"/>
      <c r="G1557" s="298"/>
      <c r="H1557" s="298"/>
    </row>
    <row r="1558" spans="5:8" ht="15.75">
      <c r="E1558" s="340"/>
      <c r="F1558" s="298"/>
      <c r="G1558" s="298"/>
      <c r="H1558" s="298"/>
    </row>
    <row r="1559" spans="5:8" ht="15.75">
      <c r="E1559" s="340"/>
      <c r="F1559" s="298"/>
      <c r="G1559" s="298"/>
      <c r="H1559" s="298"/>
    </row>
    <row r="1560" spans="5:8" ht="15.75">
      <c r="E1560" s="340"/>
      <c r="F1560" s="298"/>
      <c r="G1560" s="298"/>
      <c r="H1560" s="298"/>
    </row>
    <row r="1561" spans="5:8" ht="15.75">
      <c r="E1561" s="340"/>
      <c r="F1561" s="298"/>
      <c r="G1561" s="298"/>
      <c r="H1561" s="298"/>
    </row>
    <row r="1562" spans="5:8" ht="15.75">
      <c r="E1562" s="340"/>
      <c r="F1562" s="298"/>
      <c r="G1562" s="298"/>
      <c r="H1562" s="298"/>
    </row>
    <row r="1563" spans="5:8" ht="15.75">
      <c r="E1563" s="340"/>
      <c r="F1563" s="298"/>
      <c r="G1563" s="298"/>
      <c r="H1563" s="298"/>
    </row>
    <row r="1564" spans="5:8" ht="15.75">
      <c r="E1564" s="340"/>
      <c r="F1564" s="298"/>
      <c r="G1564" s="298"/>
      <c r="H1564" s="298"/>
    </row>
    <row r="1565" spans="5:8" ht="15.75">
      <c r="E1565" s="340"/>
      <c r="F1565" s="298"/>
      <c r="G1565" s="298"/>
      <c r="H1565" s="298"/>
    </row>
    <row r="1566" spans="5:8" ht="15.75">
      <c r="E1566" s="340"/>
      <c r="F1566" s="298"/>
      <c r="G1566" s="298"/>
      <c r="H1566" s="298"/>
    </row>
    <row r="1567" spans="5:8" ht="15.75">
      <c r="E1567" s="340"/>
      <c r="F1567" s="298"/>
      <c r="G1567" s="298"/>
      <c r="H1567" s="298"/>
    </row>
    <row r="1568" spans="5:8" ht="15.75">
      <c r="E1568" s="340"/>
      <c r="F1568" s="298"/>
      <c r="G1568" s="298"/>
      <c r="H1568" s="298"/>
    </row>
    <row r="1569" spans="5:8" ht="15.75">
      <c r="E1569" s="340"/>
      <c r="F1569" s="298"/>
      <c r="G1569" s="298"/>
      <c r="H1569" s="298"/>
    </row>
    <row r="1570" spans="5:8" ht="15.75">
      <c r="E1570" s="340"/>
      <c r="F1570" s="298"/>
      <c r="G1570" s="298"/>
      <c r="H1570" s="298"/>
    </row>
    <row r="1571" spans="5:8" ht="15.75">
      <c r="E1571" s="340"/>
      <c r="F1571" s="298"/>
      <c r="G1571" s="298"/>
      <c r="H1571" s="298"/>
    </row>
    <row r="1572" spans="5:8" ht="15.75">
      <c r="E1572" s="340"/>
      <c r="F1572" s="298"/>
      <c r="G1572" s="298"/>
      <c r="H1572" s="298"/>
    </row>
    <row r="1573" spans="5:8" ht="15.75">
      <c r="E1573" s="340"/>
      <c r="F1573" s="298"/>
      <c r="G1573" s="298"/>
      <c r="H1573" s="298"/>
    </row>
    <row r="1574" spans="5:8" ht="15.75">
      <c r="E1574" s="340"/>
      <c r="F1574" s="298"/>
      <c r="G1574" s="298"/>
      <c r="H1574" s="298"/>
    </row>
    <row r="1575" spans="5:8" ht="15.75">
      <c r="E1575" s="340"/>
      <c r="F1575" s="298"/>
      <c r="G1575" s="298"/>
      <c r="H1575" s="298"/>
    </row>
    <row r="1576" spans="5:8" ht="15.75">
      <c r="E1576" s="340"/>
      <c r="F1576" s="298"/>
      <c r="G1576" s="298"/>
      <c r="H1576" s="298"/>
    </row>
    <row r="1577" spans="5:8" ht="15.75">
      <c r="E1577" s="340"/>
      <c r="F1577" s="298"/>
      <c r="G1577" s="298"/>
      <c r="H1577" s="298"/>
    </row>
    <row r="1578" spans="5:8" ht="15.75">
      <c r="E1578" s="340"/>
      <c r="F1578" s="298"/>
      <c r="G1578" s="298"/>
      <c r="H1578" s="298"/>
    </row>
    <row r="1579" spans="5:8" ht="15.75">
      <c r="E1579" s="340"/>
      <c r="F1579" s="298"/>
      <c r="G1579" s="298"/>
      <c r="H1579" s="298"/>
    </row>
    <row r="1580" spans="5:8" ht="15.75">
      <c r="E1580" s="340"/>
      <c r="F1580" s="298"/>
      <c r="G1580" s="298"/>
      <c r="H1580" s="298"/>
    </row>
    <row r="1581" spans="5:8" ht="15.75">
      <c r="E1581" s="340"/>
      <c r="F1581" s="298"/>
      <c r="G1581" s="298"/>
      <c r="H1581" s="298"/>
    </row>
    <row r="1582" spans="5:8" ht="15.75">
      <c r="E1582" s="340"/>
      <c r="F1582" s="298"/>
      <c r="G1582" s="298"/>
      <c r="H1582" s="298"/>
    </row>
    <row r="1583" spans="5:8" ht="15.75">
      <c r="E1583" s="340"/>
      <c r="F1583" s="298"/>
      <c r="G1583" s="298"/>
      <c r="H1583" s="298"/>
    </row>
    <row r="1584" spans="5:8" ht="15.75">
      <c r="E1584" s="340"/>
      <c r="F1584" s="298"/>
      <c r="G1584" s="298"/>
      <c r="H1584" s="298"/>
    </row>
    <row r="1585" spans="5:8" ht="15.75">
      <c r="E1585" s="340"/>
      <c r="F1585" s="298"/>
      <c r="G1585" s="298"/>
      <c r="H1585" s="298"/>
    </row>
    <row r="1586" spans="5:8" ht="15.75">
      <c r="E1586" s="340"/>
      <c r="F1586" s="298"/>
      <c r="G1586" s="298"/>
      <c r="H1586" s="298"/>
    </row>
    <row r="1587" spans="5:8" ht="15.75">
      <c r="E1587" s="340"/>
      <c r="F1587" s="298"/>
      <c r="G1587" s="298"/>
      <c r="H1587" s="298"/>
    </row>
    <row r="1588" spans="5:8" ht="15.75">
      <c r="E1588" s="340"/>
      <c r="F1588" s="298"/>
      <c r="G1588" s="298"/>
      <c r="H1588" s="298"/>
    </row>
    <row r="1589" spans="5:8" ht="15.75">
      <c r="E1589" s="340"/>
      <c r="F1589" s="298"/>
      <c r="G1589" s="298"/>
      <c r="H1589" s="298"/>
    </row>
    <row r="1590" spans="5:8" ht="15.75">
      <c r="E1590" s="340"/>
      <c r="F1590" s="298"/>
      <c r="G1590" s="298"/>
      <c r="H1590" s="298"/>
    </row>
    <row r="1591" spans="5:8" ht="15.75">
      <c r="E1591" s="340"/>
      <c r="F1591" s="298"/>
      <c r="G1591" s="298"/>
      <c r="H1591" s="298"/>
    </row>
    <row r="1592" spans="5:8" ht="15.75">
      <c r="E1592" s="340"/>
      <c r="F1592" s="298"/>
      <c r="G1592" s="298"/>
      <c r="H1592" s="298"/>
    </row>
    <row r="1593" spans="5:8" ht="15.75">
      <c r="E1593" s="340"/>
      <c r="F1593" s="298"/>
      <c r="G1593" s="298"/>
      <c r="H1593" s="298"/>
    </row>
    <row r="1594" spans="5:8" ht="15.75">
      <c r="E1594" s="340"/>
      <c r="F1594" s="298"/>
      <c r="G1594" s="298"/>
      <c r="H1594" s="298"/>
    </row>
    <row r="1595" spans="5:8" ht="15.75">
      <c r="E1595" s="340"/>
      <c r="F1595" s="298"/>
      <c r="G1595" s="298"/>
      <c r="H1595" s="298"/>
    </row>
    <row r="1596" spans="5:8" ht="15.75">
      <c r="E1596" s="340"/>
      <c r="F1596" s="298"/>
      <c r="G1596" s="298"/>
      <c r="H1596" s="298"/>
    </row>
    <row r="1597" spans="5:8" ht="15.75">
      <c r="E1597" s="340"/>
      <c r="F1597" s="298"/>
      <c r="G1597" s="298"/>
      <c r="H1597" s="298"/>
    </row>
    <row r="1598" spans="5:8" ht="15.75">
      <c r="E1598" s="340"/>
      <c r="F1598" s="298"/>
      <c r="G1598" s="298"/>
      <c r="H1598" s="298"/>
    </row>
    <row r="1599" spans="5:8" ht="15.75">
      <c r="E1599" s="340"/>
      <c r="F1599" s="298"/>
      <c r="G1599" s="298"/>
      <c r="H1599" s="298"/>
    </row>
    <row r="1600" spans="5:8" ht="15.75">
      <c r="E1600" s="340"/>
      <c r="F1600" s="298"/>
      <c r="G1600" s="298"/>
      <c r="H1600" s="298"/>
    </row>
    <row r="1601" spans="5:8" ht="15.75">
      <c r="E1601" s="340"/>
      <c r="F1601" s="298"/>
      <c r="G1601" s="298"/>
      <c r="H1601" s="298"/>
    </row>
    <row r="1602" spans="5:8" ht="15.75">
      <c r="E1602" s="340"/>
      <c r="F1602" s="298"/>
      <c r="G1602" s="298"/>
      <c r="H1602" s="298"/>
    </row>
    <row r="1603" spans="5:8" ht="15.75">
      <c r="E1603" s="340"/>
      <c r="F1603" s="298"/>
      <c r="G1603" s="298"/>
      <c r="H1603" s="298"/>
    </row>
    <row r="1604" spans="5:8" ht="15.75">
      <c r="E1604" s="340"/>
      <c r="F1604" s="298"/>
      <c r="G1604" s="298"/>
      <c r="H1604" s="298"/>
    </row>
    <row r="1605" spans="5:8" ht="15.75">
      <c r="E1605" s="340"/>
      <c r="F1605" s="298"/>
      <c r="G1605" s="298"/>
      <c r="H1605" s="298"/>
    </row>
    <row r="1606" spans="5:8" ht="15.75">
      <c r="E1606" s="340"/>
      <c r="F1606" s="298"/>
      <c r="G1606" s="298"/>
      <c r="H1606" s="298"/>
    </row>
    <row r="1607" spans="5:8" ht="15.75">
      <c r="E1607" s="340"/>
      <c r="F1607" s="298"/>
      <c r="G1607" s="298"/>
      <c r="H1607" s="298"/>
    </row>
    <row r="1608" spans="5:8" ht="15.75">
      <c r="E1608" s="340"/>
      <c r="F1608" s="298"/>
      <c r="G1608" s="298"/>
      <c r="H1608" s="298"/>
    </row>
    <row r="1609" spans="5:8" ht="15.75">
      <c r="E1609" s="340"/>
      <c r="F1609" s="298"/>
      <c r="G1609" s="298"/>
      <c r="H1609" s="298"/>
    </row>
    <row r="1610" spans="5:8" ht="15.75">
      <c r="E1610" s="340"/>
      <c r="F1610" s="298"/>
      <c r="G1610" s="298"/>
      <c r="H1610" s="298"/>
    </row>
    <row r="1611" spans="5:8" ht="15.75">
      <c r="E1611" s="340"/>
      <c r="F1611" s="298"/>
      <c r="G1611" s="298"/>
      <c r="H1611" s="298"/>
    </row>
    <row r="1612" spans="5:8" ht="15.75">
      <c r="E1612" s="340"/>
      <c r="F1612" s="298"/>
      <c r="G1612" s="298"/>
      <c r="H1612" s="298"/>
    </row>
    <row r="1613" spans="5:8" ht="15.75">
      <c r="E1613" s="340"/>
      <c r="F1613" s="298"/>
      <c r="G1613" s="298"/>
      <c r="H1613" s="298"/>
    </row>
    <row r="1614" spans="5:8" ht="15.75">
      <c r="E1614" s="340"/>
      <c r="F1614" s="298"/>
      <c r="G1614" s="298"/>
      <c r="H1614" s="298"/>
    </row>
    <row r="1615" spans="5:8" ht="15.75">
      <c r="E1615" s="340"/>
      <c r="F1615" s="298"/>
      <c r="G1615" s="298"/>
      <c r="H1615" s="298"/>
    </row>
    <row r="1616" spans="5:8" ht="15.75">
      <c r="E1616" s="340"/>
      <c r="F1616" s="298"/>
      <c r="G1616" s="298"/>
      <c r="H1616" s="298"/>
    </row>
    <row r="1617" spans="5:8" ht="15.75">
      <c r="E1617" s="340"/>
      <c r="F1617" s="298"/>
      <c r="G1617" s="298"/>
      <c r="H1617" s="298"/>
    </row>
    <row r="1618" spans="5:8" ht="15.75">
      <c r="E1618" s="340"/>
      <c r="F1618" s="298"/>
      <c r="G1618" s="298"/>
      <c r="H1618" s="298"/>
    </row>
    <row r="1619" spans="5:8" ht="15.75">
      <c r="E1619" s="340"/>
      <c r="F1619" s="298"/>
      <c r="G1619" s="298"/>
      <c r="H1619" s="298"/>
    </row>
    <row r="1620" spans="5:8" ht="15.75">
      <c r="E1620" s="340"/>
      <c r="F1620" s="298"/>
      <c r="G1620" s="298"/>
      <c r="H1620" s="298"/>
    </row>
    <row r="1621" spans="5:8" ht="15.75">
      <c r="E1621" s="340"/>
      <c r="F1621" s="298"/>
      <c r="G1621" s="298"/>
      <c r="H1621" s="298"/>
    </row>
    <row r="1622" spans="5:8" ht="15.75">
      <c r="E1622" s="340"/>
      <c r="F1622" s="298"/>
      <c r="G1622" s="298"/>
      <c r="H1622" s="298"/>
    </row>
    <row r="1623" spans="5:8" ht="15.75">
      <c r="E1623" s="340"/>
      <c r="F1623" s="298"/>
      <c r="G1623" s="298"/>
      <c r="H1623" s="298"/>
    </row>
    <row r="1624" spans="5:8" ht="15.75">
      <c r="E1624" s="340"/>
      <c r="F1624" s="298"/>
      <c r="G1624" s="298"/>
      <c r="H1624" s="298"/>
    </row>
    <row r="1625" spans="5:8" ht="15.75">
      <c r="E1625" s="340"/>
      <c r="F1625" s="298"/>
      <c r="G1625" s="298"/>
      <c r="H1625" s="298"/>
    </row>
    <row r="1626" spans="5:8" ht="15.75">
      <c r="E1626" s="340"/>
      <c r="F1626" s="298"/>
      <c r="G1626" s="298"/>
      <c r="H1626" s="298"/>
    </row>
    <row r="1627" spans="5:8" ht="15.75">
      <c r="E1627" s="340"/>
      <c r="F1627" s="298"/>
      <c r="G1627" s="298"/>
      <c r="H1627" s="298"/>
    </row>
    <row r="1628" spans="5:8" ht="15.75">
      <c r="E1628" s="340"/>
      <c r="F1628" s="298"/>
      <c r="G1628" s="298"/>
      <c r="H1628" s="298"/>
    </row>
    <row r="1629" spans="5:8" ht="15.75">
      <c r="E1629" s="340"/>
      <c r="F1629" s="298"/>
      <c r="G1629" s="298"/>
      <c r="H1629" s="298"/>
    </row>
    <row r="1630" spans="5:8" ht="15.75">
      <c r="E1630" s="340"/>
      <c r="F1630" s="298"/>
      <c r="G1630" s="298"/>
      <c r="H1630" s="298"/>
    </row>
    <row r="1631" spans="5:8" ht="15.75">
      <c r="E1631" s="340"/>
      <c r="F1631" s="298"/>
      <c r="G1631" s="298"/>
      <c r="H1631" s="298"/>
    </row>
    <row r="1632" spans="5:8" ht="15.75">
      <c r="E1632" s="340"/>
      <c r="F1632" s="298"/>
      <c r="G1632" s="298"/>
      <c r="H1632" s="298"/>
    </row>
    <row r="1633" spans="5:8" ht="15.75">
      <c r="E1633" s="340"/>
      <c r="F1633" s="298"/>
      <c r="G1633" s="298"/>
      <c r="H1633" s="298"/>
    </row>
    <row r="1634" spans="5:8" ht="15.75">
      <c r="E1634" s="340"/>
      <c r="F1634" s="298"/>
      <c r="G1634" s="298"/>
      <c r="H1634" s="298"/>
    </row>
    <row r="1635" spans="5:8" ht="15.75">
      <c r="E1635" s="340"/>
      <c r="F1635" s="298"/>
      <c r="G1635" s="298"/>
      <c r="H1635" s="298"/>
    </row>
    <row r="1636" spans="5:8" ht="15.75">
      <c r="E1636" s="340"/>
      <c r="F1636" s="298"/>
      <c r="G1636" s="298"/>
      <c r="H1636" s="298"/>
    </row>
    <row r="1637" spans="5:8" ht="15.75">
      <c r="E1637" s="340"/>
      <c r="F1637" s="298"/>
      <c r="G1637" s="298"/>
      <c r="H1637" s="298"/>
    </row>
    <row r="1638" spans="5:8" ht="15.75">
      <c r="E1638" s="340"/>
      <c r="F1638" s="298"/>
      <c r="G1638" s="298"/>
      <c r="H1638" s="298"/>
    </row>
    <row r="1639" spans="5:8" ht="15.75">
      <c r="E1639" s="340"/>
      <c r="F1639" s="298"/>
      <c r="G1639" s="298"/>
      <c r="H1639" s="298"/>
    </row>
    <row r="1640" spans="5:8" ht="15.75">
      <c r="E1640" s="340"/>
      <c r="F1640" s="298"/>
      <c r="G1640" s="298"/>
      <c r="H1640" s="298"/>
    </row>
    <row r="1641" spans="5:8" ht="15.75">
      <c r="E1641" s="340"/>
      <c r="F1641" s="298"/>
      <c r="G1641" s="298"/>
      <c r="H1641" s="298"/>
    </row>
    <row r="1642" spans="5:8" ht="15.75">
      <c r="E1642" s="340"/>
      <c r="F1642" s="298"/>
      <c r="G1642" s="298"/>
      <c r="H1642" s="298"/>
    </row>
    <row r="1643" spans="5:8" ht="15.75">
      <c r="E1643" s="340"/>
      <c r="F1643" s="298"/>
      <c r="G1643" s="298"/>
      <c r="H1643" s="298"/>
    </row>
    <row r="1644" spans="5:8" ht="15.75">
      <c r="E1644" s="340"/>
      <c r="F1644" s="298"/>
      <c r="G1644" s="298"/>
      <c r="H1644" s="298"/>
    </row>
    <row r="1645" spans="5:8" ht="15.75">
      <c r="E1645" s="340"/>
      <c r="F1645" s="298"/>
      <c r="G1645" s="298"/>
      <c r="H1645" s="298"/>
    </row>
    <row r="1646" spans="5:8" ht="15.75">
      <c r="E1646" s="340"/>
      <c r="F1646" s="298"/>
      <c r="G1646" s="298"/>
      <c r="H1646" s="298"/>
    </row>
    <row r="1647" spans="5:8" ht="15.75">
      <c r="E1647" s="340"/>
      <c r="F1647" s="298"/>
      <c r="G1647" s="298"/>
      <c r="H1647" s="298"/>
    </row>
    <row r="1648" spans="5:8" ht="15.75">
      <c r="E1648" s="340"/>
      <c r="F1648" s="298"/>
      <c r="G1648" s="298"/>
      <c r="H1648" s="298"/>
    </row>
    <row r="1649" spans="5:8" ht="15.75">
      <c r="E1649" s="340"/>
      <c r="F1649" s="298"/>
      <c r="G1649" s="298"/>
      <c r="H1649" s="298"/>
    </row>
    <row r="1650" spans="5:8" ht="15.75">
      <c r="E1650" s="340"/>
      <c r="F1650" s="298"/>
      <c r="G1650" s="298"/>
      <c r="H1650" s="298"/>
    </row>
    <row r="1651" spans="5:8" ht="15.75">
      <c r="E1651" s="340"/>
      <c r="F1651" s="298"/>
      <c r="G1651" s="298"/>
      <c r="H1651" s="298"/>
    </row>
    <row r="1652" spans="5:8" ht="15.75">
      <c r="E1652" s="340"/>
      <c r="F1652" s="298"/>
      <c r="G1652" s="298"/>
      <c r="H1652" s="298"/>
    </row>
    <row r="1653" spans="5:8" ht="15.75">
      <c r="E1653" s="340"/>
      <c r="F1653" s="298"/>
      <c r="G1653" s="298"/>
      <c r="H1653" s="298"/>
    </row>
    <row r="1654" spans="5:8" ht="15.75">
      <c r="E1654" s="340"/>
      <c r="F1654" s="298"/>
      <c r="G1654" s="298"/>
      <c r="H1654" s="298"/>
    </row>
    <row r="1655" spans="5:8" ht="15.75">
      <c r="E1655" s="340"/>
      <c r="F1655" s="298"/>
      <c r="G1655" s="298"/>
      <c r="H1655" s="298"/>
    </row>
    <row r="1656" spans="5:8" ht="15.75">
      <c r="E1656" s="340"/>
      <c r="F1656" s="298"/>
      <c r="G1656" s="298"/>
      <c r="H1656" s="298"/>
    </row>
    <row r="1657" spans="5:8" ht="15.75">
      <c r="E1657" s="340"/>
      <c r="F1657" s="298"/>
      <c r="G1657" s="298"/>
      <c r="H1657" s="298"/>
    </row>
    <row r="1658" spans="5:8" ht="15.75">
      <c r="E1658" s="340"/>
      <c r="F1658" s="298"/>
      <c r="G1658" s="298"/>
      <c r="H1658" s="298"/>
    </row>
    <row r="1659" spans="5:8" ht="15.75">
      <c r="E1659" s="340"/>
      <c r="F1659" s="298"/>
      <c r="G1659" s="298"/>
      <c r="H1659" s="298"/>
    </row>
    <row r="1660" spans="5:8" ht="15.75">
      <c r="E1660" s="340"/>
      <c r="F1660" s="298"/>
      <c r="G1660" s="298"/>
      <c r="H1660" s="298"/>
    </row>
    <row r="1661" spans="5:8" ht="15.75">
      <c r="E1661" s="340"/>
      <c r="F1661" s="298"/>
      <c r="G1661" s="298"/>
      <c r="H1661" s="298"/>
    </row>
    <row r="1662" spans="5:8" ht="15.75">
      <c r="E1662" s="340"/>
      <c r="F1662" s="298"/>
      <c r="G1662" s="298"/>
      <c r="H1662" s="298"/>
    </row>
    <row r="1663" spans="5:8" ht="15.75">
      <c r="E1663" s="340"/>
      <c r="F1663" s="298"/>
      <c r="G1663" s="298"/>
      <c r="H1663" s="298"/>
    </row>
    <row r="1664" spans="5:8" ht="15.75">
      <c r="E1664" s="340"/>
      <c r="F1664" s="298"/>
      <c r="G1664" s="298"/>
      <c r="H1664" s="298"/>
    </row>
    <row r="1665" spans="5:8" ht="15.75">
      <c r="E1665" s="340"/>
      <c r="F1665" s="298"/>
      <c r="G1665" s="298"/>
      <c r="H1665" s="298"/>
    </row>
    <row r="1666" spans="5:8" ht="15.75">
      <c r="E1666" s="340"/>
      <c r="F1666" s="298"/>
      <c r="G1666" s="298"/>
      <c r="H1666" s="298"/>
    </row>
    <row r="1667" spans="5:8" ht="15.75">
      <c r="E1667" s="340"/>
      <c r="F1667" s="298"/>
      <c r="G1667" s="298"/>
      <c r="H1667" s="298"/>
    </row>
    <row r="1668" spans="5:8" ht="15.75">
      <c r="E1668" s="340"/>
      <c r="F1668" s="298"/>
      <c r="G1668" s="298"/>
      <c r="H1668" s="298"/>
    </row>
    <row r="1669" spans="5:8" ht="15.75">
      <c r="E1669" s="340"/>
      <c r="F1669" s="298"/>
      <c r="G1669" s="298"/>
      <c r="H1669" s="298"/>
    </row>
    <row r="1670" spans="5:8" ht="15.75">
      <c r="E1670" s="340"/>
      <c r="F1670" s="298"/>
      <c r="G1670" s="298"/>
      <c r="H1670" s="298"/>
    </row>
    <row r="1671" spans="5:8" ht="15.75">
      <c r="E1671" s="340"/>
      <c r="F1671" s="298"/>
      <c r="G1671" s="298"/>
      <c r="H1671" s="298"/>
    </row>
    <row r="1672" spans="5:8" ht="15.75">
      <c r="E1672" s="340"/>
      <c r="F1672" s="298"/>
      <c r="G1672" s="298"/>
      <c r="H1672" s="298"/>
    </row>
    <row r="1673" spans="5:8" ht="15.75">
      <c r="E1673" s="340"/>
      <c r="F1673" s="298"/>
      <c r="G1673" s="298"/>
      <c r="H1673" s="298"/>
    </row>
    <row r="1674" spans="5:8" ht="15.75">
      <c r="E1674" s="340"/>
      <c r="F1674" s="298"/>
      <c r="G1674" s="298"/>
      <c r="H1674" s="298"/>
    </row>
    <row r="1675" spans="5:8" ht="15.75">
      <c r="E1675" s="340"/>
      <c r="F1675" s="298"/>
      <c r="G1675" s="298"/>
      <c r="H1675" s="298"/>
    </row>
    <row r="1676" spans="5:8" ht="15.75">
      <c r="E1676" s="340"/>
      <c r="F1676" s="298"/>
      <c r="G1676" s="298"/>
      <c r="H1676" s="298"/>
    </row>
    <row r="1677" spans="5:8" ht="15.75">
      <c r="E1677" s="340"/>
      <c r="F1677" s="298"/>
      <c r="G1677" s="298"/>
      <c r="H1677" s="298"/>
    </row>
    <row r="1678" spans="5:8" ht="15.75">
      <c r="E1678" s="340"/>
      <c r="F1678" s="298"/>
      <c r="G1678" s="298"/>
      <c r="H1678" s="298"/>
    </row>
    <row r="1679" spans="5:8" ht="15.75">
      <c r="E1679" s="340"/>
      <c r="F1679" s="298"/>
      <c r="G1679" s="298"/>
      <c r="H1679" s="298"/>
    </row>
    <row r="1680" spans="5:8" ht="15.75">
      <c r="E1680" s="340"/>
      <c r="F1680" s="298"/>
      <c r="G1680" s="298"/>
      <c r="H1680" s="298"/>
    </row>
    <row r="1681" spans="5:8" ht="15.75">
      <c r="E1681" s="340"/>
      <c r="F1681" s="298"/>
      <c r="G1681" s="298"/>
      <c r="H1681" s="298"/>
    </row>
    <row r="1682" spans="5:8" ht="15.75">
      <c r="E1682" s="340"/>
      <c r="F1682" s="298"/>
      <c r="G1682" s="298"/>
      <c r="H1682" s="298"/>
    </row>
    <row r="1683" spans="5:8" ht="15.75">
      <c r="E1683" s="340"/>
      <c r="F1683" s="298"/>
      <c r="G1683" s="298"/>
      <c r="H1683" s="298"/>
    </row>
    <row r="1684" spans="5:8" ht="15.75">
      <c r="E1684" s="340"/>
      <c r="F1684" s="298"/>
      <c r="G1684" s="298"/>
      <c r="H1684" s="298"/>
    </row>
    <row r="1685" spans="5:8" ht="15.75">
      <c r="E1685" s="340"/>
      <c r="F1685" s="298"/>
      <c r="G1685" s="298"/>
      <c r="H1685" s="298"/>
    </row>
    <row r="1686" spans="5:8" ht="15.75">
      <c r="E1686" s="340"/>
      <c r="F1686" s="298"/>
      <c r="G1686" s="298"/>
      <c r="H1686" s="298"/>
    </row>
    <row r="1687" spans="5:8" ht="15.75">
      <c r="E1687" s="340"/>
      <c r="F1687" s="298"/>
      <c r="G1687" s="298"/>
      <c r="H1687" s="298"/>
    </row>
    <row r="1688" spans="5:8" ht="15.75">
      <c r="E1688" s="340"/>
      <c r="F1688" s="298"/>
      <c r="G1688" s="298"/>
      <c r="H1688" s="298"/>
    </row>
    <row r="1689" spans="5:8" ht="15.75">
      <c r="E1689" s="340"/>
      <c r="F1689" s="298"/>
      <c r="G1689" s="298"/>
      <c r="H1689" s="298"/>
    </row>
    <row r="1690" spans="5:8" ht="15.75">
      <c r="E1690" s="340"/>
      <c r="F1690" s="298"/>
      <c r="G1690" s="298"/>
      <c r="H1690" s="298"/>
    </row>
    <row r="1691" spans="5:8" ht="15.75">
      <c r="E1691" s="340"/>
      <c r="F1691" s="298"/>
      <c r="G1691" s="298"/>
      <c r="H1691" s="298"/>
    </row>
    <row r="1692" spans="5:8" ht="15.75">
      <c r="E1692" s="340"/>
      <c r="F1692" s="298"/>
      <c r="G1692" s="298"/>
      <c r="H1692" s="298"/>
    </row>
    <row r="1693" spans="5:8" ht="15.75">
      <c r="E1693" s="340"/>
      <c r="F1693" s="298"/>
      <c r="G1693" s="298"/>
      <c r="H1693" s="298"/>
    </row>
    <row r="1694" spans="5:8" ht="15.75">
      <c r="E1694" s="340"/>
      <c r="F1694" s="298"/>
      <c r="G1694" s="298"/>
      <c r="H1694" s="298"/>
    </row>
    <row r="1695" spans="5:8" ht="15.75">
      <c r="E1695" s="340"/>
      <c r="F1695" s="298"/>
      <c r="G1695" s="298"/>
      <c r="H1695" s="298"/>
    </row>
    <row r="1696" spans="5:8" ht="15.75">
      <c r="E1696" s="340"/>
      <c r="F1696" s="298"/>
      <c r="G1696" s="298"/>
      <c r="H1696" s="298"/>
    </row>
    <row r="1697" spans="5:8" ht="15.75">
      <c r="E1697" s="340"/>
      <c r="F1697" s="298"/>
      <c r="G1697" s="298"/>
      <c r="H1697" s="298"/>
    </row>
    <row r="1698" spans="5:8" ht="15.75">
      <c r="E1698" s="340"/>
      <c r="F1698" s="298"/>
      <c r="G1698" s="298"/>
      <c r="H1698" s="298"/>
    </row>
    <row r="1699" spans="5:8" ht="15.75">
      <c r="E1699" s="340"/>
      <c r="F1699" s="298"/>
      <c r="G1699" s="298"/>
      <c r="H1699" s="298"/>
    </row>
    <row r="1700" spans="5:8" ht="15.75">
      <c r="E1700" s="340"/>
      <c r="F1700" s="298"/>
      <c r="G1700" s="298"/>
      <c r="H1700" s="298"/>
    </row>
    <row r="1701" spans="5:8" ht="15.75">
      <c r="E1701" s="340"/>
      <c r="F1701" s="298"/>
      <c r="G1701" s="298"/>
      <c r="H1701" s="298"/>
    </row>
    <row r="1702" spans="5:8" ht="15.75">
      <c r="E1702" s="340"/>
      <c r="F1702" s="298"/>
      <c r="G1702" s="298"/>
      <c r="H1702" s="298"/>
    </row>
    <row r="1703" spans="5:8" ht="15.75">
      <c r="E1703" s="340"/>
      <c r="F1703" s="298"/>
      <c r="G1703" s="298"/>
      <c r="H1703" s="298"/>
    </row>
    <row r="1704" spans="5:8" ht="15.75">
      <c r="E1704" s="340"/>
      <c r="F1704" s="298"/>
      <c r="G1704" s="298"/>
      <c r="H1704" s="298"/>
    </row>
    <row r="1705" spans="5:8" ht="15.75">
      <c r="E1705" s="340"/>
      <c r="F1705" s="298"/>
      <c r="G1705" s="298"/>
      <c r="H1705" s="298"/>
    </row>
    <row r="1706" spans="5:8" ht="15.75">
      <c r="E1706" s="340"/>
      <c r="F1706" s="298"/>
      <c r="G1706" s="298"/>
      <c r="H1706" s="298"/>
    </row>
    <row r="1707" spans="5:8" ht="15.75">
      <c r="E1707" s="340"/>
      <c r="F1707" s="298"/>
      <c r="G1707" s="298"/>
      <c r="H1707" s="298"/>
    </row>
    <row r="1708" spans="5:8" ht="15.75">
      <c r="E1708" s="340"/>
      <c r="F1708" s="298"/>
      <c r="G1708" s="298"/>
      <c r="H1708" s="298"/>
    </row>
    <row r="1709" spans="5:8" ht="15.75">
      <c r="E1709" s="340"/>
      <c r="F1709" s="298"/>
      <c r="G1709" s="298"/>
      <c r="H1709" s="298"/>
    </row>
    <row r="1710" spans="5:8" ht="15.75">
      <c r="E1710" s="340"/>
      <c r="F1710" s="298"/>
      <c r="G1710" s="298"/>
      <c r="H1710" s="298"/>
    </row>
    <row r="1711" spans="5:8" ht="15.75">
      <c r="E1711" s="340"/>
      <c r="F1711" s="298"/>
      <c r="G1711" s="298"/>
      <c r="H1711" s="298"/>
    </row>
    <row r="1712" spans="5:8" ht="15.75">
      <c r="E1712" s="340"/>
      <c r="F1712" s="298"/>
      <c r="G1712" s="298"/>
      <c r="H1712" s="298"/>
    </row>
    <row r="1713" spans="5:8" ht="15.75">
      <c r="E1713" s="340"/>
      <c r="F1713" s="298"/>
      <c r="G1713" s="298"/>
      <c r="H1713" s="298"/>
    </row>
    <row r="1714" spans="5:8" ht="15.75">
      <c r="E1714" s="340"/>
      <c r="F1714" s="298"/>
      <c r="G1714" s="298"/>
      <c r="H1714" s="298"/>
    </row>
    <row r="1715" spans="5:8" ht="15.75">
      <c r="E1715" s="340"/>
      <c r="F1715" s="298"/>
      <c r="G1715" s="298"/>
      <c r="H1715" s="298"/>
    </row>
    <row r="1716" spans="5:8" ht="15.75">
      <c r="E1716" s="340"/>
      <c r="F1716" s="298"/>
      <c r="G1716" s="298"/>
      <c r="H1716" s="298"/>
    </row>
    <row r="1717" spans="5:8" ht="15.75">
      <c r="E1717" s="340"/>
      <c r="F1717" s="298"/>
      <c r="G1717" s="298"/>
      <c r="H1717" s="298"/>
    </row>
    <row r="1718" spans="5:8" ht="15.75">
      <c r="E1718" s="340"/>
      <c r="F1718" s="298"/>
      <c r="G1718" s="298"/>
      <c r="H1718" s="298"/>
    </row>
    <row r="1719" spans="5:8" ht="15.75">
      <c r="E1719" s="340"/>
      <c r="F1719" s="298"/>
      <c r="G1719" s="298"/>
      <c r="H1719" s="298"/>
    </row>
    <row r="1720" spans="5:8" ht="15.75">
      <c r="E1720" s="340"/>
      <c r="F1720" s="298"/>
      <c r="G1720" s="298"/>
      <c r="H1720" s="298"/>
    </row>
    <row r="1721" spans="5:8" ht="15.75">
      <c r="E1721" s="340"/>
      <c r="F1721" s="298"/>
      <c r="G1721" s="298"/>
      <c r="H1721" s="298"/>
    </row>
    <row r="1722" spans="5:8" ht="15.75">
      <c r="E1722" s="340"/>
      <c r="F1722" s="298"/>
      <c r="G1722" s="298"/>
      <c r="H1722" s="298"/>
    </row>
    <row r="1723" spans="5:8" ht="15.75">
      <c r="E1723" s="340"/>
      <c r="F1723" s="298"/>
      <c r="G1723" s="298"/>
      <c r="H1723" s="298"/>
    </row>
    <row r="1724" spans="5:8" ht="15.75">
      <c r="E1724" s="340"/>
      <c r="F1724" s="298"/>
      <c r="G1724" s="298"/>
      <c r="H1724" s="298"/>
    </row>
    <row r="1725" spans="5:8" ht="15.75">
      <c r="E1725" s="340"/>
      <c r="F1725" s="298"/>
      <c r="G1725" s="298"/>
      <c r="H1725" s="298"/>
    </row>
    <row r="1726" spans="5:8" ht="15.75">
      <c r="E1726" s="340"/>
      <c r="F1726" s="298"/>
      <c r="G1726" s="298"/>
      <c r="H1726" s="298"/>
    </row>
    <row r="1727" spans="5:8" ht="15.75">
      <c r="E1727" s="340"/>
      <c r="F1727" s="298"/>
      <c r="G1727" s="298"/>
      <c r="H1727" s="298"/>
    </row>
    <row r="1728" spans="5:8" ht="15.75">
      <c r="E1728" s="340"/>
      <c r="F1728" s="298"/>
      <c r="G1728" s="298"/>
      <c r="H1728" s="298"/>
    </row>
    <row r="1729" spans="5:8" ht="15.75">
      <c r="E1729" s="340"/>
      <c r="F1729" s="298"/>
      <c r="G1729" s="298"/>
      <c r="H1729" s="298"/>
    </row>
    <row r="1730" spans="5:8" ht="15.75">
      <c r="E1730" s="340"/>
      <c r="F1730" s="298"/>
      <c r="G1730" s="298"/>
      <c r="H1730" s="298"/>
    </row>
    <row r="1731" spans="5:8" ht="15.75">
      <c r="E1731" s="340"/>
      <c r="F1731" s="298"/>
      <c r="G1731" s="298"/>
      <c r="H1731" s="298"/>
    </row>
    <row r="1732" spans="5:8" ht="15.75">
      <c r="E1732" s="340"/>
      <c r="F1732" s="298"/>
      <c r="G1732" s="298"/>
      <c r="H1732" s="298"/>
    </row>
    <row r="1733" spans="5:8" ht="15.75">
      <c r="E1733" s="340"/>
      <c r="F1733" s="298"/>
      <c r="G1733" s="298"/>
      <c r="H1733" s="298"/>
    </row>
    <row r="1734" spans="5:8" ht="15.75">
      <c r="E1734" s="340"/>
      <c r="F1734" s="298"/>
      <c r="G1734" s="298"/>
      <c r="H1734" s="298"/>
    </row>
    <row r="1735" spans="5:8" ht="15.75">
      <c r="E1735" s="340"/>
      <c r="F1735" s="298"/>
      <c r="G1735" s="298"/>
      <c r="H1735" s="298"/>
    </row>
    <row r="1736" spans="5:8" ht="15.75">
      <c r="E1736" s="340"/>
      <c r="F1736" s="298"/>
      <c r="G1736" s="298"/>
      <c r="H1736" s="298"/>
    </row>
    <row r="1737" spans="5:8" ht="15.75">
      <c r="E1737" s="340"/>
      <c r="F1737" s="298"/>
      <c r="G1737" s="298"/>
      <c r="H1737" s="298"/>
    </row>
    <row r="1738" spans="5:8" ht="15.75">
      <c r="E1738" s="340"/>
      <c r="F1738" s="298"/>
      <c r="G1738" s="298"/>
      <c r="H1738" s="298"/>
    </row>
    <row r="1739" spans="5:8" ht="15.75">
      <c r="E1739" s="340"/>
      <c r="F1739" s="298"/>
      <c r="G1739" s="298"/>
      <c r="H1739" s="298"/>
    </row>
    <row r="1740" spans="5:8" ht="15.75">
      <c r="E1740" s="340"/>
      <c r="F1740" s="298"/>
      <c r="G1740" s="298"/>
      <c r="H1740" s="298"/>
    </row>
    <row r="1741" spans="5:8" ht="15.75">
      <c r="E1741" s="340"/>
      <c r="F1741" s="298"/>
      <c r="G1741" s="298"/>
      <c r="H1741" s="298"/>
    </row>
    <row r="1742" spans="5:8" ht="15.75">
      <c r="E1742" s="340"/>
      <c r="F1742" s="298"/>
      <c r="G1742" s="298"/>
      <c r="H1742" s="298"/>
    </row>
    <row r="1743" spans="5:8" ht="15.75">
      <c r="E1743" s="340"/>
      <c r="F1743" s="298"/>
      <c r="G1743" s="298"/>
      <c r="H1743" s="298"/>
    </row>
    <row r="1744" spans="5:8" ht="15.75">
      <c r="E1744" s="340"/>
      <c r="F1744" s="298"/>
      <c r="G1744" s="298"/>
      <c r="H1744" s="298"/>
    </row>
    <row r="1745" spans="5:8" ht="15.75">
      <c r="E1745" s="340"/>
      <c r="F1745" s="298"/>
      <c r="G1745" s="298"/>
      <c r="H1745" s="298"/>
    </row>
    <row r="1746" spans="5:8" ht="15.75">
      <c r="E1746" s="340"/>
      <c r="F1746" s="298"/>
      <c r="G1746" s="298"/>
      <c r="H1746" s="298"/>
    </row>
    <row r="1747" spans="5:8" ht="15.75">
      <c r="E1747" s="340"/>
      <c r="F1747" s="298"/>
      <c r="G1747" s="298"/>
      <c r="H1747" s="298"/>
    </row>
    <row r="1748" spans="5:8" ht="15.75">
      <c r="E1748" s="340"/>
      <c r="F1748" s="298"/>
      <c r="G1748" s="298"/>
      <c r="H1748" s="298"/>
    </row>
    <row r="1749" spans="5:8" ht="15.75">
      <c r="E1749" s="340"/>
      <c r="F1749" s="298"/>
      <c r="G1749" s="298"/>
      <c r="H1749" s="298"/>
    </row>
    <row r="1750" spans="5:8" ht="15.75">
      <c r="E1750" s="340"/>
      <c r="F1750" s="298"/>
      <c r="G1750" s="298"/>
      <c r="H1750" s="298"/>
    </row>
    <row r="1751" spans="5:8" ht="15.75">
      <c r="E1751" s="340"/>
      <c r="F1751" s="298"/>
      <c r="G1751" s="298"/>
      <c r="H1751" s="298"/>
    </row>
    <row r="1752" spans="5:8" ht="15.75">
      <c r="E1752" s="340"/>
      <c r="F1752" s="298"/>
      <c r="G1752" s="298"/>
      <c r="H1752" s="298"/>
    </row>
    <row r="1753" spans="5:8" ht="15.75">
      <c r="E1753" s="340"/>
      <c r="F1753" s="298"/>
      <c r="G1753" s="298"/>
      <c r="H1753" s="298"/>
    </row>
    <row r="1754" spans="5:8" ht="15.75">
      <c r="E1754" s="340"/>
      <c r="F1754" s="298"/>
      <c r="G1754" s="298"/>
      <c r="H1754" s="298"/>
    </row>
    <row r="1755" spans="5:8" ht="15.75">
      <c r="E1755" s="340"/>
      <c r="F1755" s="298"/>
      <c r="G1755" s="298"/>
      <c r="H1755" s="298"/>
    </row>
    <row r="1756" spans="5:8" ht="15.75">
      <c r="E1756" s="340"/>
      <c r="F1756" s="298"/>
      <c r="G1756" s="298"/>
      <c r="H1756" s="298"/>
    </row>
    <row r="1757" spans="5:8" ht="15.75">
      <c r="E1757" s="340"/>
      <c r="F1757" s="298"/>
      <c r="G1757" s="298"/>
      <c r="H1757" s="298"/>
    </row>
    <row r="1758" spans="5:8" ht="15.75">
      <c r="E1758" s="340"/>
      <c r="F1758" s="298"/>
      <c r="G1758" s="298"/>
      <c r="H1758" s="298"/>
    </row>
    <row r="1759" spans="5:8" ht="15.75">
      <c r="E1759" s="340"/>
      <c r="F1759" s="298"/>
      <c r="G1759" s="298"/>
      <c r="H1759" s="298"/>
    </row>
    <row r="1760" spans="5:8" ht="15.75">
      <c r="E1760" s="340"/>
      <c r="F1760" s="298"/>
      <c r="G1760" s="298"/>
      <c r="H1760" s="298"/>
    </row>
    <row r="1761" spans="5:8" ht="15.75">
      <c r="E1761" s="340"/>
      <c r="F1761" s="298"/>
      <c r="G1761" s="298"/>
      <c r="H1761" s="298"/>
    </row>
    <row r="1762" spans="5:8" ht="15.75">
      <c r="E1762" s="340"/>
      <c r="F1762" s="298"/>
      <c r="G1762" s="298"/>
      <c r="H1762" s="298"/>
    </row>
    <row r="1763" spans="5:8" ht="15.75">
      <c r="E1763" s="340"/>
      <c r="F1763" s="298"/>
      <c r="G1763" s="298"/>
      <c r="H1763" s="298"/>
    </row>
    <row r="1764" spans="5:8" ht="15.75">
      <c r="E1764" s="340"/>
      <c r="F1764" s="298"/>
      <c r="G1764" s="298"/>
      <c r="H1764" s="298"/>
    </row>
    <row r="1765" spans="5:8" ht="15.75">
      <c r="E1765" s="340"/>
      <c r="F1765" s="298"/>
      <c r="G1765" s="298"/>
      <c r="H1765" s="298"/>
    </row>
    <row r="1766" spans="5:8" ht="15.75">
      <c r="E1766" s="340"/>
      <c r="F1766" s="298"/>
      <c r="G1766" s="298"/>
      <c r="H1766" s="298"/>
    </row>
    <row r="1767" spans="5:8" ht="15.75">
      <c r="E1767" s="340"/>
      <c r="F1767" s="298"/>
      <c r="G1767" s="298"/>
      <c r="H1767" s="298"/>
    </row>
    <row r="1768" spans="5:8" ht="15.75">
      <c r="E1768" s="340"/>
      <c r="F1768" s="298"/>
      <c r="G1768" s="298"/>
      <c r="H1768" s="298"/>
    </row>
    <row r="1769" spans="5:8" ht="15.75">
      <c r="E1769" s="340"/>
      <c r="F1769" s="298"/>
      <c r="G1769" s="298"/>
      <c r="H1769" s="298"/>
    </row>
    <row r="1770" spans="5:8" ht="15.75">
      <c r="E1770" s="340"/>
      <c r="F1770" s="298"/>
      <c r="G1770" s="298"/>
      <c r="H1770" s="298"/>
    </row>
    <row r="1771" spans="5:8" ht="15.75">
      <c r="E1771" s="340"/>
      <c r="F1771" s="298"/>
      <c r="G1771" s="298"/>
      <c r="H1771" s="298"/>
    </row>
    <row r="1772" spans="5:8" ht="15.75">
      <c r="E1772" s="340"/>
      <c r="F1772" s="298"/>
      <c r="G1772" s="298"/>
      <c r="H1772" s="298"/>
    </row>
    <row r="1773" spans="5:8" ht="15.75">
      <c r="E1773" s="340"/>
      <c r="F1773" s="298"/>
      <c r="G1773" s="298"/>
      <c r="H1773" s="298"/>
    </row>
    <row r="1774" spans="5:8" ht="15.75">
      <c r="E1774" s="340"/>
      <c r="F1774" s="298"/>
      <c r="G1774" s="298"/>
      <c r="H1774" s="298"/>
    </row>
    <row r="1775" spans="5:8" ht="15.75">
      <c r="E1775" s="340"/>
      <c r="F1775" s="298"/>
      <c r="G1775" s="298"/>
      <c r="H1775" s="298"/>
    </row>
    <row r="1776" spans="5:8" ht="15.75">
      <c r="E1776" s="340"/>
      <c r="F1776" s="298"/>
      <c r="G1776" s="298"/>
      <c r="H1776" s="298"/>
    </row>
    <row r="1777" spans="5:8" ht="15.75">
      <c r="E1777" s="340"/>
      <c r="F1777" s="298"/>
      <c r="G1777" s="298"/>
      <c r="H1777" s="298"/>
    </row>
    <row r="1778" spans="5:8" ht="15.75">
      <c r="E1778" s="340"/>
      <c r="F1778" s="298"/>
      <c r="G1778" s="298"/>
      <c r="H1778" s="298"/>
    </row>
    <row r="1779" spans="5:8" ht="15.75">
      <c r="E1779" s="340"/>
      <c r="F1779" s="298"/>
      <c r="G1779" s="298"/>
      <c r="H1779" s="298"/>
    </row>
    <row r="1780" spans="5:8" ht="15.75">
      <c r="E1780" s="340"/>
      <c r="F1780" s="298"/>
      <c r="G1780" s="298"/>
      <c r="H1780" s="298"/>
    </row>
    <row r="1781" spans="5:8" ht="15.75">
      <c r="E1781" s="340"/>
      <c r="F1781" s="298"/>
      <c r="G1781" s="298"/>
      <c r="H1781" s="298"/>
    </row>
    <row r="1782" spans="5:8" ht="15.75">
      <c r="E1782" s="340"/>
      <c r="F1782" s="298"/>
      <c r="G1782" s="298"/>
      <c r="H1782" s="298"/>
    </row>
    <row r="1783" spans="5:8" ht="15.75">
      <c r="E1783" s="340"/>
      <c r="F1783" s="298"/>
      <c r="G1783" s="298"/>
      <c r="H1783" s="298"/>
    </row>
    <row r="1784" spans="5:8" ht="15.75">
      <c r="E1784" s="340"/>
      <c r="F1784" s="298"/>
      <c r="G1784" s="298"/>
      <c r="H1784" s="298"/>
    </row>
    <row r="1785" spans="5:8" ht="15.75">
      <c r="E1785" s="340"/>
      <c r="F1785" s="298"/>
      <c r="G1785" s="298"/>
      <c r="H1785" s="298"/>
    </row>
    <row r="1786" spans="5:8" ht="15.75">
      <c r="E1786" s="340"/>
      <c r="F1786" s="298"/>
      <c r="G1786" s="298"/>
      <c r="H1786" s="298"/>
    </row>
    <row r="1787" spans="5:8" ht="15.75">
      <c r="E1787" s="340"/>
      <c r="F1787" s="298"/>
      <c r="G1787" s="298"/>
      <c r="H1787" s="298"/>
    </row>
    <row r="1788" spans="5:8" ht="15.75">
      <c r="E1788" s="340"/>
      <c r="F1788" s="298"/>
      <c r="G1788" s="298"/>
      <c r="H1788" s="298"/>
    </row>
    <row r="1789" spans="5:8" ht="15.75">
      <c r="E1789" s="340"/>
      <c r="F1789" s="298"/>
      <c r="G1789" s="298"/>
      <c r="H1789" s="298"/>
    </row>
    <row r="1790" spans="5:8" ht="15.75">
      <c r="E1790" s="340"/>
      <c r="F1790" s="298"/>
      <c r="G1790" s="298"/>
      <c r="H1790" s="298"/>
    </row>
    <row r="1791" spans="5:8" ht="15.75">
      <c r="E1791" s="340"/>
      <c r="F1791" s="298"/>
      <c r="G1791" s="298"/>
      <c r="H1791" s="298"/>
    </row>
    <row r="1792" spans="5:8" ht="15.75">
      <c r="E1792" s="340"/>
      <c r="F1792" s="298"/>
      <c r="G1792" s="298"/>
      <c r="H1792" s="298"/>
    </row>
    <row r="1793" spans="5:8" ht="15.75">
      <c r="E1793" s="340"/>
      <c r="F1793" s="298"/>
      <c r="G1793" s="298"/>
      <c r="H1793" s="298"/>
    </row>
    <row r="1794" spans="5:8" ht="15.75">
      <c r="E1794" s="340"/>
      <c r="F1794" s="298"/>
      <c r="G1794" s="298"/>
      <c r="H1794" s="298"/>
    </row>
    <row r="1795" spans="5:8" ht="15.75">
      <c r="E1795" s="340"/>
      <c r="F1795" s="298"/>
      <c r="G1795" s="298"/>
      <c r="H1795" s="298"/>
    </row>
    <row r="1796" spans="5:8" ht="15.75">
      <c r="E1796" s="340"/>
      <c r="F1796" s="298"/>
      <c r="G1796" s="298"/>
      <c r="H1796" s="298"/>
    </row>
    <row r="1797" spans="5:8" ht="15.75">
      <c r="E1797" s="340"/>
      <c r="F1797" s="298"/>
      <c r="G1797" s="298"/>
      <c r="H1797" s="298"/>
    </row>
    <row r="1798" spans="5:8" ht="15.75">
      <c r="E1798" s="340"/>
      <c r="F1798" s="298"/>
      <c r="G1798" s="298"/>
      <c r="H1798" s="298"/>
    </row>
    <row r="1799" spans="5:8" ht="15.75">
      <c r="E1799" s="340"/>
      <c r="F1799" s="298"/>
      <c r="G1799" s="298"/>
      <c r="H1799" s="298"/>
    </row>
    <row r="1800" spans="5:8" ht="15.75">
      <c r="E1800" s="340"/>
      <c r="F1800" s="298"/>
      <c r="G1800" s="298"/>
      <c r="H1800" s="298"/>
    </row>
    <row r="1801" spans="5:8" ht="15.75">
      <c r="E1801" s="340"/>
      <c r="F1801" s="298"/>
      <c r="G1801" s="298"/>
      <c r="H1801" s="298"/>
    </row>
    <row r="1802" spans="5:8" ht="15.75">
      <c r="E1802" s="340"/>
      <c r="F1802" s="298"/>
      <c r="G1802" s="298"/>
      <c r="H1802" s="298"/>
    </row>
    <row r="1803" spans="5:8" ht="15.75">
      <c r="E1803" s="340"/>
      <c r="F1803" s="298"/>
      <c r="G1803" s="298"/>
      <c r="H1803" s="298"/>
    </row>
    <row r="1804" spans="5:8" ht="15.75">
      <c r="E1804" s="340"/>
      <c r="F1804" s="298"/>
      <c r="G1804" s="298"/>
      <c r="H1804" s="298"/>
    </row>
    <row r="1805" spans="5:8" ht="15.75">
      <c r="E1805" s="340"/>
      <c r="F1805" s="298"/>
      <c r="G1805" s="298"/>
      <c r="H1805" s="298"/>
    </row>
    <row r="1806" spans="5:8" ht="15.75">
      <c r="E1806" s="340"/>
      <c r="F1806" s="298"/>
      <c r="G1806" s="298"/>
      <c r="H1806" s="298"/>
    </row>
    <row r="1807" spans="5:8" ht="15.75">
      <c r="E1807" s="340"/>
      <c r="F1807" s="298"/>
      <c r="G1807" s="298"/>
      <c r="H1807" s="298"/>
    </row>
    <row r="1808" spans="5:8" ht="15.75">
      <c r="E1808" s="340"/>
      <c r="F1808" s="298"/>
      <c r="G1808" s="298"/>
      <c r="H1808" s="298"/>
    </row>
    <row r="1809" spans="5:8" ht="15.75">
      <c r="E1809" s="340"/>
      <c r="F1809" s="298"/>
      <c r="G1809" s="298"/>
      <c r="H1809" s="298"/>
    </row>
    <row r="1810" spans="5:8" ht="15.75">
      <c r="E1810" s="340"/>
      <c r="F1810" s="298"/>
      <c r="G1810" s="298"/>
      <c r="H1810" s="298"/>
    </row>
    <row r="1811" spans="5:8" ht="15.75">
      <c r="E1811" s="340"/>
      <c r="F1811" s="298"/>
      <c r="G1811" s="298"/>
      <c r="H1811" s="298"/>
    </row>
    <row r="1812" spans="5:8" ht="15.75">
      <c r="E1812" s="340"/>
      <c r="F1812" s="298"/>
      <c r="G1812" s="298"/>
      <c r="H1812" s="298"/>
    </row>
    <row r="1813" spans="5:8" ht="15.75">
      <c r="E1813" s="340"/>
      <c r="F1813" s="298"/>
      <c r="G1813" s="298"/>
      <c r="H1813" s="298"/>
    </row>
    <row r="1814" spans="5:8" ht="15.75">
      <c r="E1814" s="340"/>
      <c r="F1814" s="298"/>
      <c r="G1814" s="298"/>
      <c r="H1814" s="298"/>
    </row>
    <row r="1815" spans="5:8" ht="15.75">
      <c r="E1815" s="340"/>
      <c r="F1815" s="298"/>
      <c r="G1815" s="298"/>
      <c r="H1815" s="298"/>
    </row>
    <row r="1816" spans="5:8" ht="15.75">
      <c r="E1816" s="340"/>
      <c r="F1816" s="298"/>
      <c r="G1816" s="298"/>
      <c r="H1816" s="298"/>
    </row>
    <row r="1817" spans="5:8" ht="15.75">
      <c r="E1817" s="340"/>
      <c r="F1817" s="298"/>
      <c r="G1817" s="298"/>
      <c r="H1817" s="298"/>
    </row>
    <row r="1818" spans="5:8" ht="15.75">
      <c r="E1818" s="340"/>
      <c r="F1818" s="298"/>
      <c r="G1818" s="298"/>
      <c r="H1818" s="298"/>
    </row>
    <row r="1819" spans="5:8" ht="15.75">
      <c r="E1819" s="340"/>
      <c r="F1819" s="298"/>
      <c r="G1819" s="298"/>
      <c r="H1819" s="298"/>
    </row>
    <row r="1820" spans="5:8" ht="15.75">
      <c r="E1820" s="340"/>
      <c r="F1820" s="298"/>
      <c r="G1820" s="298"/>
      <c r="H1820" s="298"/>
    </row>
    <row r="1821" spans="5:8" ht="15.75">
      <c r="E1821" s="340"/>
      <c r="F1821" s="298"/>
      <c r="G1821" s="298"/>
      <c r="H1821" s="298"/>
    </row>
    <row r="1822" spans="5:8" ht="15.75">
      <c r="E1822" s="340"/>
      <c r="F1822" s="298"/>
      <c r="G1822" s="298"/>
      <c r="H1822" s="298"/>
    </row>
    <row r="1823" spans="5:8" ht="15.75">
      <c r="E1823" s="340"/>
      <c r="F1823" s="298"/>
      <c r="G1823" s="298"/>
      <c r="H1823" s="298"/>
    </row>
    <row r="1824" spans="5:8" ht="15.75">
      <c r="E1824" s="340"/>
      <c r="F1824" s="298"/>
      <c r="G1824" s="298"/>
      <c r="H1824" s="298"/>
    </row>
    <row r="1825" spans="5:8" ht="15.75">
      <c r="E1825" s="340"/>
      <c r="F1825" s="298"/>
      <c r="G1825" s="298"/>
      <c r="H1825" s="298"/>
    </row>
    <row r="1826" spans="5:8" ht="15.75">
      <c r="E1826" s="340"/>
      <c r="F1826" s="298"/>
      <c r="G1826" s="298"/>
      <c r="H1826" s="298"/>
    </row>
    <row r="1827" spans="5:8" ht="15.75">
      <c r="E1827" s="340"/>
      <c r="F1827" s="298"/>
      <c r="G1827" s="298"/>
      <c r="H1827" s="298"/>
    </row>
    <row r="1828" spans="5:8" ht="15.75">
      <c r="E1828" s="340"/>
      <c r="F1828" s="298"/>
      <c r="G1828" s="298"/>
      <c r="H1828" s="298"/>
    </row>
    <row r="1829" spans="5:8" ht="15.75">
      <c r="E1829" s="340"/>
      <c r="F1829" s="298"/>
      <c r="G1829" s="298"/>
      <c r="H1829" s="298"/>
    </row>
    <row r="1830" spans="5:8" ht="15.75">
      <c r="E1830" s="340"/>
      <c r="F1830" s="298"/>
      <c r="G1830" s="298"/>
      <c r="H1830" s="298"/>
    </row>
    <row r="1831" spans="5:8" ht="15.75">
      <c r="E1831" s="340"/>
      <c r="F1831" s="298"/>
      <c r="G1831" s="298"/>
      <c r="H1831" s="298"/>
    </row>
    <row r="1832" spans="5:8" ht="15.75">
      <c r="E1832" s="340"/>
      <c r="F1832" s="298"/>
      <c r="G1832" s="298"/>
      <c r="H1832" s="298"/>
    </row>
    <row r="1833" spans="5:8" ht="15.75">
      <c r="E1833" s="340"/>
      <c r="F1833" s="298"/>
      <c r="G1833" s="298"/>
      <c r="H1833" s="298"/>
    </row>
    <row r="1834" spans="5:8" ht="15.75">
      <c r="E1834" s="340"/>
      <c r="F1834" s="298"/>
      <c r="G1834" s="298"/>
      <c r="H1834" s="298"/>
    </row>
    <row r="1835" spans="5:8" ht="15.75">
      <c r="E1835" s="340"/>
      <c r="F1835" s="298"/>
      <c r="G1835" s="298"/>
      <c r="H1835" s="298"/>
    </row>
    <row r="1836" spans="5:8" ht="15.75">
      <c r="E1836" s="340"/>
      <c r="F1836" s="298"/>
      <c r="G1836" s="298"/>
      <c r="H1836" s="298"/>
    </row>
    <row r="1837" spans="5:8" ht="15.75">
      <c r="E1837" s="340"/>
      <c r="F1837" s="298"/>
      <c r="G1837" s="298"/>
      <c r="H1837" s="298"/>
    </row>
    <row r="1838" spans="5:8" ht="15.75">
      <c r="E1838" s="340"/>
      <c r="F1838" s="298"/>
      <c r="G1838" s="298"/>
      <c r="H1838" s="298"/>
    </row>
    <row r="1839" spans="5:8" ht="15.75">
      <c r="E1839" s="340"/>
      <c r="F1839" s="298"/>
      <c r="G1839" s="298"/>
      <c r="H1839" s="298"/>
    </row>
    <row r="1840" spans="5:8" ht="15.75">
      <c r="E1840" s="340"/>
      <c r="F1840" s="298"/>
      <c r="G1840" s="298"/>
      <c r="H1840" s="298"/>
    </row>
    <row r="1841" spans="5:8" ht="15.75">
      <c r="E1841" s="340"/>
      <c r="F1841" s="298"/>
      <c r="G1841" s="298"/>
      <c r="H1841" s="298"/>
    </row>
    <row r="1842" spans="5:8" ht="15.75">
      <c r="E1842" s="340"/>
      <c r="F1842" s="298"/>
      <c r="G1842" s="298"/>
      <c r="H1842" s="298"/>
    </row>
    <row r="1843" spans="5:8" ht="15.75">
      <c r="E1843" s="340"/>
      <c r="F1843" s="298"/>
      <c r="G1843" s="298"/>
      <c r="H1843" s="298"/>
    </row>
    <row r="1844" spans="5:8" ht="15.75">
      <c r="E1844" s="340"/>
      <c r="F1844" s="298"/>
      <c r="G1844" s="298"/>
      <c r="H1844" s="298"/>
    </row>
    <row r="1845" spans="5:8" ht="15.75">
      <c r="E1845" s="340"/>
      <c r="F1845" s="298"/>
      <c r="G1845" s="298"/>
      <c r="H1845" s="298"/>
    </row>
    <row r="1846" spans="5:8" ht="15.75">
      <c r="E1846" s="340"/>
      <c r="F1846" s="298"/>
      <c r="G1846" s="298"/>
      <c r="H1846" s="298"/>
    </row>
    <row r="1847" spans="5:8" ht="15.75">
      <c r="E1847" s="340"/>
      <c r="F1847" s="298"/>
      <c r="G1847" s="298"/>
      <c r="H1847" s="298"/>
    </row>
    <row r="1848" spans="5:8" ht="15.75">
      <c r="E1848" s="340"/>
      <c r="F1848" s="298"/>
      <c r="G1848" s="298"/>
      <c r="H1848" s="298"/>
    </row>
    <row r="1849" spans="5:8" ht="15.75">
      <c r="E1849" s="340"/>
      <c r="F1849" s="298"/>
      <c r="G1849" s="298"/>
      <c r="H1849" s="298"/>
    </row>
    <row r="1850" spans="5:8" ht="15.75">
      <c r="E1850" s="340"/>
      <c r="F1850" s="298"/>
      <c r="G1850" s="298"/>
      <c r="H1850" s="298"/>
    </row>
    <row r="1851" spans="5:8" ht="15.75">
      <c r="E1851" s="340"/>
      <c r="F1851" s="298"/>
      <c r="G1851" s="298"/>
      <c r="H1851" s="298"/>
    </row>
    <row r="1852" spans="5:8" ht="15.75">
      <c r="E1852" s="340"/>
      <c r="F1852" s="298"/>
      <c r="G1852" s="298"/>
      <c r="H1852" s="298"/>
    </row>
    <row r="1853" spans="5:8" ht="15.75">
      <c r="E1853" s="340"/>
      <c r="F1853" s="298"/>
      <c r="G1853" s="298"/>
      <c r="H1853" s="298"/>
    </row>
    <row r="1854" spans="5:8" ht="15.75">
      <c r="E1854" s="340"/>
      <c r="F1854" s="298"/>
      <c r="G1854" s="298"/>
      <c r="H1854" s="298"/>
    </row>
    <row r="1855" spans="5:8" ht="15.75">
      <c r="E1855" s="340"/>
      <c r="F1855" s="298"/>
      <c r="G1855" s="298"/>
      <c r="H1855" s="298"/>
    </row>
    <row r="1856" spans="5:8" ht="15.75">
      <c r="E1856" s="340"/>
      <c r="F1856" s="298"/>
      <c r="G1856" s="298"/>
      <c r="H1856" s="298"/>
    </row>
    <row r="1857" spans="5:8" ht="15.75">
      <c r="E1857" s="340"/>
      <c r="F1857" s="298"/>
      <c r="G1857" s="298"/>
      <c r="H1857" s="298"/>
    </row>
    <row r="1858" spans="5:8" ht="15.75">
      <c r="E1858" s="340"/>
      <c r="F1858" s="298"/>
      <c r="G1858" s="298"/>
      <c r="H1858" s="298"/>
    </row>
    <row r="1859" spans="5:8" ht="15.75">
      <c r="E1859" s="340"/>
      <c r="F1859" s="298"/>
      <c r="G1859" s="298"/>
      <c r="H1859" s="298"/>
    </row>
    <row r="1860" spans="5:8" ht="15.75">
      <c r="E1860" s="340"/>
      <c r="F1860" s="298"/>
      <c r="G1860" s="298"/>
      <c r="H1860" s="298"/>
    </row>
    <row r="1861" spans="5:8" ht="15.75">
      <c r="E1861" s="340"/>
      <c r="F1861" s="298"/>
      <c r="G1861" s="298"/>
      <c r="H1861" s="298"/>
    </row>
    <row r="1862" spans="5:8" ht="15.75">
      <c r="E1862" s="340"/>
      <c r="F1862" s="298"/>
      <c r="G1862" s="298"/>
      <c r="H1862" s="298"/>
    </row>
    <row r="1863" spans="5:8" ht="15.75">
      <c r="E1863" s="340"/>
      <c r="F1863" s="298"/>
      <c r="G1863" s="298"/>
      <c r="H1863" s="298"/>
    </row>
    <row r="1864" spans="5:8" ht="15.75">
      <c r="E1864" s="340"/>
      <c r="F1864" s="298"/>
      <c r="G1864" s="298"/>
      <c r="H1864" s="298"/>
    </row>
    <row r="1865" spans="5:8" ht="15.75">
      <c r="E1865" s="340"/>
      <c r="F1865" s="298"/>
      <c r="G1865" s="298"/>
      <c r="H1865" s="298"/>
    </row>
    <row r="1866" spans="5:8" ht="15.75">
      <c r="E1866" s="340"/>
      <c r="F1866" s="298"/>
      <c r="G1866" s="298"/>
      <c r="H1866" s="298"/>
    </row>
    <row r="1867" spans="5:8" ht="15.75">
      <c r="E1867" s="340"/>
      <c r="F1867" s="298"/>
      <c r="G1867" s="298"/>
      <c r="H1867" s="298"/>
    </row>
    <row r="1868" spans="5:8" ht="15.75">
      <c r="E1868" s="340"/>
      <c r="F1868" s="298"/>
      <c r="G1868" s="298"/>
      <c r="H1868" s="298"/>
    </row>
    <row r="1869" spans="5:8" ht="15.75">
      <c r="E1869" s="340"/>
      <c r="F1869" s="298"/>
      <c r="G1869" s="298"/>
      <c r="H1869" s="298"/>
    </row>
    <row r="1870" spans="5:8" ht="15.75">
      <c r="E1870" s="340"/>
      <c r="F1870" s="298"/>
      <c r="G1870" s="298"/>
      <c r="H1870" s="298"/>
    </row>
    <row r="1871" spans="5:8" ht="15.75">
      <c r="E1871" s="340"/>
      <c r="F1871" s="298"/>
      <c r="G1871" s="298"/>
      <c r="H1871" s="298"/>
    </row>
    <row r="1872" spans="5:8" ht="15.75">
      <c r="E1872" s="340"/>
      <c r="F1872" s="298"/>
      <c r="G1872" s="298"/>
      <c r="H1872" s="298"/>
    </row>
    <row r="1873" spans="5:8" ht="15.75">
      <c r="E1873" s="340"/>
      <c r="F1873" s="298"/>
      <c r="G1873" s="298"/>
      <c r="H1873" s="298"/>
    </row>
    <row r="1874" spans="5:8" ht="15.75">
      <c r="E1874" s="340"/>
      <c r="F1874" s="298"/>
      <c r="G1874" s="298"/>
      <c r="H1874" s="298"/>
    </row>
    <row r="1875" spans="5:8" ht="15.75">
      <c r="E1875" s="340"/>
      <c r="F1875" s="298"/>
      <c r="G1875" s="298"/>
      <c r="H1875" s="298"/>
    </row>
    <row r="1876" spans="5:8" ht="15.75">
      <c r="E1876" s="340"/>
      <c r="F1876" s="298"/>
      <c r="G1876" s="298"/>
      <c r="H1876" s="298"/>
    </row>
    <row r="1877" spans="5:8" ht="15.75">
      <c r="E1877" s="340"/>
      <c r="F1877" s="298"/>
      <c r="G1877" s="298"/>
      <c r="H1877" s="298"/>
    </row>
    <row r="1878" spans="5:8" ht="15.75">
      <c r="E1878" s="340"/>
      <c r="F1878" s="298"/>
      <c r="G1878" s="298"/>
      <c r="H1878" s="298"/>
    </row>
    <row r="1879" spans="5:8" ht="15.75">
      <c r="E1879" s="340"/>
      <c r="F1879" s="298"/>
      <c r="G1879" s="298"/>
      <c r="H1879" s="298"/>
    </row>
    <row r="1880" spans="5:8" ht="15.75">
      <c r="E1880" s="340"/>
      <c r="F1880" s="298"/>
      <c r="G1880" s="298"/>
      <c r="H1880" s="298"/>
    </row>
    <row r="1881" spans="5:8" ht="15.75">
      <c r="E1881" s="340"/>
      <c r="F1881" s="298"/>
      <c r="G1881" s="298"/>
      <c r="H1881" s="298"/>
    </row>
    <row r="1882" spans="5:8" ht="15.75">
      <c r="E1882" s="340"/>
      <c r="F1882" s="298"/>
      <c r="G1882" s="298"/>
      <c r="H1882" s="298"/>
    </row>
    <row r="1883" spans="5:8" ht="15.75">
      <c r="E1883" s="340"/>
      <c r="F1883" s="298"/>
      <c r="G1883" s="298"/>
      <c r="H1883" s="298"/>
    </row>
    <row r="1884" spans="5:8" ht="15.75">
      <c r="E1884" s="340"/>
      <c r="F1884" s="298"/>
      <c r="G1884" s="298"/>
      <c r="H1884" s="298"/>
    </row>
    <row r="1885" spans="5:8" ht="15.75">
      <c r="E1885" s="340"/>
      <c r="F1885" s="298"/>
      <c r="G1885" s="298"/>
      <c r="H1885" s="298"/>
    </row>
    <row r="1886" spans="5:8" ht="15.75">
      <c r="E1886" s="340"/>
      <c r="F1886" s="298"/>
      <c r="G1886" s="298"/>
      <c r="H1886" s="298"/>
    </row>
    <row r="1887" spans="5:8" ht="15.75">
      <c r="E1887" s="340"/>
      <c r="F1887" s="298"/>
      <c r="G1887" s="298"/>
      <c r="H1887" s="298"/>
    </row>
    <row r="1888" spans="5:8" ht="15.75">
      <c r="E1888" s="340"/>
      <c r="F1888" s="298"/>
      <c r="G1888" s="298"/>
      <c r="H1888" s="298"/>
    </row>
    <row r="1889" spans="5:8" ht="15.75">
      <c r="E1889" s="340"/>
      <c r="F1889" s="298"/>
      <c r="G1889" s="298"/>
      <c r="H1889" s="298"/>
    </row>
    <row r="1890" spans="5:8" ht="15.75">
      <c r="E1890" s="340"/>
      <c r="F1890" s="298"/>
      <c r="G1890" s="298"/>
      <c r="H1890" s="298"/>
    </row>
    <row r="1891" spans="5:8" ht="15.75">
      <c r="E1891" s="340"/>
      <c r="F1891" s="298"/>
      <c r="G1891" s="298"/>
      <c r="H1891" s="298"/>
    </row>
    <row r="1892" spans="5:8" ht="15.75">
      <c r="E1892" s="340"/>
      <c r="F1892" s="298"/>
      <c r="G1892" s="298"/>
      <c r="H1892" s="298"/>
    </row>
    <row r="1893" spans="5:8" ht="15.75">
      <c r="E1893" s="340"/>
      <c r="F1893" s="298"/>
      <c r="G1893" s="298"/>
      <c r="H1893" s="298"/>
    </row>
    <row r="1894" spans="5:8" ht="15.75">
      <c r="E1894" s="340"/>
      <c r="F1894" s="298"/>
      <c r="G1894" s="298"/>
      <c r="H1894" s="298"/>
    </row>
    <row r="1895" spans="5:8" ht="15.75">
      <c r="E1895" s="340"/>
      <c r="F1895" s="298"/>
      <c r="G1895" s="298"/>
      <c r="H1895" s="298"/>
    </row>
    <row r="1896" spans="5:8" ht="15.75">
      <c r="E1896" s="340"/>
      <c r="F1896" s="298"/>
      <c r="G1896" s="298"/>
      <c r="H1896" s="298"/>
    </row>
    <row r="1897" spans="5:8" ht="15.75">
      <c r="E1897" s="340"/>
      <c r="F1897" s="298"/>
      <c r="G1897" s="298"/>
      <c r="H1897" s="298"/>
    </row>
    <row r="1898" spans="5:8" ht="15.75">
      <c r="E1898" s="340"/>
      <c r="F1898" s="298"/>
      <c r="G1898" s="298"/>
      <c r="H1898" s="298"/>
    </row>
    <row r="1899" spans="5:8" ht="15.75">
      <c r="E1899" s="340"/>
      <c r="F1899" s="298"/>
      <c r="G1899" s="298"/>
      <c r="H1899" s="298"/>
    </row>
    <row r="1900" spans="5:8" ht="15.75">
      <c r="E1900" s="340"/>
      <c r="F1900" s="298"/>
      <c r="G1900" s="298"/>
      <c r="H1900" s="298"/>
    </row>
    <row r="1901" spans="5:8" ht="15.75">
      <c r="E1901" s="340"/>
      <c r="F1901" s="298"/>
      <c r="G1901" s="298"/>
      <c r="H1901" s="298"/>
    </row>
    <row r="1902" spans="5:8" ht="15.75">
      <c r="E1902" s="340"/>
      <c r="F1902" s="298"/>
      <c r="G1902" s="298"/>
      <c r="H1902" s="298"/>
    </row>
    <row r="1903" spans="5:8" ht="15.75">
      <c r="E1903" s="340"/>
      <c r="F1903" s="298"/>
      <c r="G1903" s="298"/>
      <c r="H1903" s="298"/>
    </row>
    <row r="1904" spans="5:8" ht="15.75">
      <c r="E1904" s="340"/>
      <c r="F1904" s="298"/>
      <c r="G1904" s="298"/>
      <c r="H1904" s="298"/>
    </row>
    <row r="1905" spans="5:8" ht="15.75">
      <c r="E1905" s="340"/>
      <c r="F1905" s="298"/>
      <c r="G1905" s="298"/>
      <c r="H1905" s="298"/>
    </row>
    <row r="1906" spans="5:8" ht="15.75">
      <c r="E1906" s="340"/>
      <c r="F1906" s="298"/>
      <c r="G1906" s="298"/>
      <c r="H1906" s="298"/>
    </row>
    <row r="1907" spans="5:8" ht="15.75">
      <c r="E1907" s="340"/>
      <c r="F1907" s="298"/>
      <c r="G1907" s="298"/>
      <c r="H1907" s="298"/>
    </row>
    <row r="1908" spans="5:8" ht="15.75">
      <c r="E1908" s="340"/>
      <c r="F1908" s="298"/>
      <c r="G1908" s="298"/>
      <c r="H1908" s="298"/>
    </row>
    <row r="1909" spans="5:8" ht="15.75">
      <c r="E1909" s="340"/>
      <c r="F1909" s="298"/>
      <c r="G1909" s="298"/>
      <c r="H1909" s="298"/>
    </row>
    <row r="1910" spans="5:8" ht="15.75">
      <c r="E1910" s="340"/>
      <c r="F1910" s="298"/>
      <c r="G1910" s="298"/>
      <c r="H1910" s="298"/>
    </row>
    <row r="1911" spans="5:8" ht="15.75">
      <c r="E1911" s="340"/>
      <c r="F1911" s="298"/>
      <c r="G1911" s="298"/>
      <c r="H1911" s="298"/>
    </row>
    <row r="1912" spans="5:8" ht="15.75">
      <c r="E1912" s="340"/>
      <c r="F1912" s="298"/>
      <c r="G1912" s="298"/>
      <c r="H1912" s="298"/>
    </row>
    <row r="1913" spans="5:8" ht="15.75">
      <c r="E1913" s="340"/>
      <c r="F1913" s="298"/>
      <c r="G1913" s="298"/>
      <c r="H1913" s="298"/>
    </row>
    <row r="1914" spans="5:8" ht="15.75">
      <c r="E1914" s="340"/>
      <c r="F1914" s="298"/>
      <c r="G1914" s="298"/>
      <c r="H1914" s="298"/>
    </row>
    <row r="1915" spans="5:8" ht="15.75">
      <c r="E1915" s="340"/>
      <c r="F1915" s="298"/>
      <c r="G1915" s="298"/>
      <c r="H1915" s="298"/>
    </row>
    <row r="1916" spans="5:8" ht="15.75">
      <c r="E1916" s="340"/>
      <c r="F1916" s="298"/>
      <c r="G1916" s="298"/>
      <c r="H1916" s="298"/>
    </row>
    <row r="1917" spans="5:8" ht="15.75">
      <c r="E1917" s="340"/>
      <c r="F1917" s="298"/>
      <c r="G1917" s="298"/>
      <c r="H1917" s="298"/>
    </row>
    <row r="1918" spans="5:8" ht="15.75">
      <c r="E1918" s="340"/>
      <c r="F1918" s="298"/>
      <c r="G1918" s="298"/>
      <c r="H1918" s="298"/>
    </row>
    <row r="1919" spans="5:8" ht="15.75">
      <c r="E1919" s="340"/>
      <c r="F1919" s="298"/>
      <c r="G1919" s="298"/>
      <c r="H1919" s="298"/>
    </row>
    <row r="1920" spans="5:8" ht="15.75">
      <c r="E1920" s="340"/>
      <c r="F1920" s="298"/>
      <c r="G1920" s="298"/>
      <c r="H1920" s="298"/>
    </row>
    <row r="1921" spans="5:8" ht="15.75">
      <c r="E1921" s="340"/>
      <c r="F1921" s="298"/>
      <c r="G1921" s="298"/>
      <c r="H1921" s="298"/>
    </row>
    <row r="1922" spans="5:8" ht="15.75">
      <c r="E1922" s="340"/>
      <c r="F1922" s="298"/>
      <c r="G1922" s="298"/>
      <c r="H1922" s="298"/>
    </row>
    <row r="1923" spans="5:8" ht="15.75">
      <c r="E1923" s="340"/>
      <c r="F1923" s="298"/>
      <c r="G1923" s="298"/>
      <c r="H1923" s="298"/>
    </row>
    <row r="1924" spans="5:8" ht="15.75">
      <c r="E1924" s="340"/>
      <c r="F1924" s="298"/>
      <c r="G1924" s="298"/>
      <c r="H1924" s="298"/>
    </row>
    <row r="1925" spans="5:8" ht="15.75">
      <c r="E1925" s="340"/>
      <c r="F1925" s="298"/>
      <c r="G1925" s="298"/>
      <c r="H1925" s="298"/>
    </row>
    <row r="1926" spans="5:8" ht="15.75">
      <c r="E1926" s="340"/>
      <c r="F1926" s="298"/>
      <c r="G1926" s="298"/>
      <c r="H1926" s="298"/>
    </row>
    <row r="1927" spans="5:8" ht="15.75">
      <c r="E1927" s="340"/>
      <c r="F1927" s="298"/>
      <c r="G1927" s="298"/>
      <c r="H1927" s="298"/>
    </row>
    <row r="1928" spans="5:8" ht="15.75">
      <c r="E1928" s="340"/>
      <c r="F1928" s="298"/>
      <c r="G1928" s="298"/>
      <c r="H1928" s="298"/>
    </row>
    <row r="1929" spans="5:8" ht="15.75">
      <c r="E1929" s="340"/>
      <c r="F1929" s="298"/>
      <c r="G1929" s="298"/>
      <c r="H1929" s="298"/>
    </row>
    <row r="1930" spans="5:8" ht="15.75">
      <c r="E1930" s="340"/>
      <c r="F1930" s="298"/>
      <c r="G1930" s="298"/>
      <c r="H1930" s="298"/>
    </row>
    <row r="1931" spans="5:8" ht="15.75">
      <c r="E1931" s="340"/>
      <c r="F1931" s="298"/>
      <c r="G1931" s="298"/>
      <c r="H1931" s="298"/>
    </row>
    <row r="1932" spans="5:8" ht="15.75">
      <c r="E1932" s="340"/>
      <c r="F1932" s="298"/>
      <c r="G1932" s="298"/>
      <c r="H1932" s="298"/>
    </row>
    <row r="1933" spans="5:8" ht="15.75">
      <c r="E1933" s="340"/>
      <c r="F1933" s="298"/>
      <c r="G1933" s="298"/>
      <c r="H1933" s="298"/>
    </row>
    <row r="1934" spans="5:8" ht="15.75">
      <c r="E1934" s="340"/>
      <c r="F1934" s="298"/>
      <c r="G1934" s="298"/>
      <c r="H1934" s="298"/>
    </row>
    <row r="1935" spans="5:8" ht="15.75">
      <c r="E1935" s="340"/>
      <c r="F1935" s="298"/>
      <c r="G1935" s="298"/>
      <c r="H1935" s="298"/>
    </row>
    <row r="1936" spans="5:8" ht="15.75">
      <c r="E1936" s="340"/>
      <c r="F1936" s="298"/>
      <c r="G1936" s="298"/>
      <c r="H1936" s="298"/>
    </row>
    <row r="1937" spans="5:8" ht="15.75">
      <c r="E1937" s="340"/>
      <c r="F1937" s="298"/>
      <c r="G1937" s="298"/>
      <c r="H1937" s="298"/>
    </row>
    <row r="1938" spans="5:8" ht="15.75">
      <c r="E1938" s="340"/>
      <c r="F1938" s="298"/>
      <c r="G1938" s="298"/>
      <c r="H1938" s="298"/>
    </row>
    <row r="1939" spans="5:8" ht="15.75">
      <c r="E1939" s="340"/>
      <c r="F1939" s="298"/>
      <c r="G1939" s="298"/>
      <c r="H1939" s="298"/>
    </row>
    <row r="1940" spans="5:8" ht="15.75">
      <c r="E1940" s="340"/>
      <c r="F1940" s="298"/>
      <c r="G1940" s="298"/>
      <c r="H1940" s="298"/>
    </row>
    <row r="1941" spans="5:8" ht="15.75">
      <c r="E1941" s="340"/>
      <c r="F1941" s="298"/>
      <c r="G1941" s="298"/>
      <c r="H1941" s="298"/>
    </row>
    <row r="1942" spans="5:8" ht="15.75">
      <c r="E1942" s="340"/>
      <c r="F1942" s="298"/>
      <c r="G1942" s="298"/>
      <c r="H1942" s="298"/>
    </row>
    <row r="1943" spans="5:8" ht="15.75">
      <c r="E1943" s="340"/>
      <c r="F1943" s="298"/>
      <c r="G1943" s="298"/>
      <c r="H1943" s="298"/>
    </row>
    <row r="1944" spans="5:8" ht="15.75">
      <c r="E1944" s="340"/>
      <c r="F1944" s="298"/>
      <c r="G1944" s="298"/>
      <c r="H1944" s="298"/>
    </row>
    <row r="1945" spans="5:8" ht="15.75">
      <c r="E1945" s="340"/>
      <c r="F1945" s="298"/>
      <c r="G1945" s="298"/>
      <c r="H1945" s="298"/>
    </row>
    <row r="1946" spans="5:8" ht="15.75">
      <c r="E1946" s="340"/>
      <c r="F1946" s="298"/>
      <c r="G1946" s="298"/>
      <c r="H1946" s="298"/>
    </row>
    <row r="1947" spans="5:8" ht="15.75">
      <c r="E1947" s="340"/>
      <c r="F1947" s="298"/>
      <c r="G1947" s="298"/>
      <c r="H1947" s="298"/>
    </row>
    <row r="1948" spans="5:8" ht="15.75">
      <c r="E1948" s="340"/>
      <c r="F1948" s="298"/>
      <c r="G1948" s="298"/>
      <c r="H1948" s="298"/>
    </row>
    <row r="1949" spans="5:8" ht="15.75">
      <c r="E1949" s="340"/>
      <c r="F1949" s="298"/>
      <c r="G1949" s="298"/>
      <c r="H1949" s="298"/>
    </row>
    <row r="1950" spans="5:8" ht="15.75">
      <c r="E1950" s="340"/>
      <c r="F1950" s="298"/>
      <c r="G1950" s="298"/>
      <c r="H1950" s="298"/>
    </row>
    <row r="1951" spans="5:8" ht="15.75">
      <c r="E1951" s="340"/>
      <c r="F1951" s="298"/>
      <c r="G1951" s="298"/>
      <c r="H1951" s="298"/>
    </row>
    <row r="1952" spans="5:8" ht="15.75">
      <c r="E1952" s="340"/>
      <c r="F1952" s="298"/>
      <c r="G1952" s="298"/>
      <c r="H1952" s="298"/>
    </row>
    <row r="1953" spans="5:8" ht="15.75">
      <c r="E1953" s="340"/>
      <c r="F1953" s="298"/>
      <c r="G1953" s="298"/>
      <c r="H1953" s="298"/>
    </row>
    <row r="1954" spans="5:8" ht="15.75">
      <c r="E1954" s="340"/>
      <c r="F1954" s="298"/>
      <c r="G1954" s="298"/>
      <c r="H1954" s="298"/>
    </row>
    <row r="1955" spans="5:8" ht="15.75">
      <c r="E1955" s="340"/>
      <c r="F1955" s="298"/>
      <c r="G1955" s="298"/>
      <c r="H1955" s="298"/>
    </row>
    <row r="1956" spans="5:8" ht="15.75">
      <c r="E1956" s="340"/>
      <c r="F1956" s="298"/>
      <c r="G1956" s="298"/>
      <c r="H1956" s="298"/>
    </row>
    <row r="1957" spans="5:8" ht="15.75">
      <c r="E1957" s="340"/>
      <c r="F1957" s="298"/>
      <c r="G1957" s="298"/>
      <c r="H1957" s="298"/>
    </row>
    <row r="1958" spans="5:8" ht="15.75">
      <c r="E1958" s="340"/>
      <c r="F1958" s="298"/>
      <c r="G1958" s="298"/>
      <c r="H1958" s="298"/>
    </row>
    <row r="1959" spans="5:8" ht="15.75">
      <c r="E1959" s="340"/>
      <c r="F1959" s="298"/>
      <c r="G1959" s="298"/>
      <c r="H1959" s="298"/>
    </row>
    <row r="1960" spans="5:8" ht="15.75">
      <c r="E1960" s="340"/>
      <c r="F1960" s="298"/>
      <c r="G1960" s="298"/>
      <c r="H1960" s="298"/>
    </row>
    <row r="1961" spans="5:8" ht="15.75">
      <c r="E1961" s="340"/>
      <c r="F1961" s="298"/>
      <c r="G1961" s="298"/>
      <c r="H1961" s="298"/>
    </row>
    <row r="1962" spans="5:8" ht="15.75">
      <c r="E1962" s="340"/>
      <c r="F1962" s="298"/>
      <c r="G1962" s="298"/>
      <c r="H1962" s="298"/>
    </row>
    <row r="1963" spans="5:8" ht="15.75">
      <c r="E1963" s="340"/>
      <c r="F1963" s="298"/>
      <c r="G1963" s="298"/>
      <c r="H1963" s="298"/>
    </row>
    <row r="1964" spans="5:8" ht="15.75">
      <c r="E1964" s="340"/>
      <c r="F1964" s="298"/>
      <c r="G1964" s="298"/>
      <c r="H1964" s="298"/>
    </row>
    <row r="1965" spans="5:8" ht="15.75">
      <c r="E1965" s="340"/>
      <c r="F1965" s="298"/>
      <c r="G1965" s="298"/>
      <c r="H1965" s="298"/>
    </row>
    <row r="1966" spans="5:8" ht="15.75">
      <c r="E1966" s="340"/>
      <c r="F1966" s="298"/>
      <c r="G1966" s="298"/>
      <c r="H1966" s="298"/>
    </row>
    <row r="1967" spans="5:8" ht="15.75">
      <c r="E1967" s="340"/>
      <c r="F1967" s="298"/>
      <c r="G1967" s="298"/>
      <c r="H1967" s="298"/>
    </row>
    <row r="1968" spans="5:8" ht="15.75">
      <c r="E1968" s="340"/>
      <c r="F1968" s="298"/>
      <c r="G1968" s="298"/>
      <c r="H1968" s="298"/>
    </row>
    <row r="1969" spans="5:8" ht="15.75">
      <c r="E1969" s="340"/>
      <c r="F1969" s="298"/>
      <c r="G1969" s="298"/>
      <c r="H1969" s="298"/>
    </row>
    <row r="1970" spans="5:8" ht="15.75">
      <c r="E1970" s="340"/>
      <c r="F1970" s="298"/>
      <c r="G1970" s="298"/>
      <c r="H1970" s="298"/>
    </row>
    <row r="1971" spans="5:8" ht="15.75">
      <c r="E1971" s="340"/>
      <c r="F1971" s="298"/>
      <c r="G1971" s="298"/>
      <c r="H1971" s="298"/>
    </row>
    <row r="1972" spans="5:8" ht="15.75">
      <c r="E1972" s="340"/>
      <c r="F1972" s="298"/>
      <c r="G1972" s="298"/>
      <c r="H1972" s="298"/>
    </row>
    <row r="1973" spans="5:8" ht="15.75">
      <c r="E1973" s="340"/>
      <c r="F1973" s="298"/>
      <c r="G1973" s="298"/>
      <c r="H1973" s="298"/>
    </row>
    <row r="1974" spans="5:8" ht="15.75">
      <c r="E1974" s="340"/>
      <c r="F1974" s="298"/>
      <c r="G1974" s="298"/>
      <c r="H1974" s="298"/>
    </row>
    <row r="1975" spans="5:8" ht="15.75">
      <c r="E1975" s="340"/>
      <c r="F1975" s="298"/>
      <c r="G1975" s="298"/>
      <c r="H1975" s="298"/>
    </row>
    <row r="1976" spans="5:8" ht="15.75">
      <c r="E1976" s="340"/>
      <c r="F1976" s="298"/>
      <c r="G1976" s="298"/>
      <c r="H1976" s="298"/>
    </row>
    <row r="1977" spans="5:8" ht="15.75">
      <c r="E1977" s="340"/>
      <c r="F1977" s="298"/>
      <c r="G1977" s="298"/>
      <c r="H1977" s="298"/>
    </row>
    <row r="1978" spans="5:8" ht="15.75">
      <c r="E1978" s="340"/>
      <c r="F1978" s="298"/>
      <c r="G1978" s="298"/>
      <c r="H1978" s="298"/>
    </row>
    <row r="1979" spans="5:8" ht="15.75">
      <c r="E1979" s="340"/>
      <c r="F1979" s="298"/>
      <c r="G1979" s="298"/>
      <c r="H1979" s="298"/>
    </row>
    <row r="1980" spans="5:8" ht="15.75">
      <c r="E1980" s="340"/>
      <c r="F1980" s="298"/>
      <c r="G1980" s="298"/>
      <c r="H1980" s="298"/>
    </row>
    <row r="1981" spans="5:8" ht="15.75">
      <c r="E1981" s="340"/>
      <c r="F1981" s="298"/>
      <c r="G1981" s="298"/>
      <c r="H1981" s="298"/>
    </row>
    <row r="1982" spans="5:8" ht="15.75">
      <c r="E1982" s="340"/>
      <c r="F1982" s="298"/>
      <c r="G1982" s="298"/>
      <c r="H1982" s="298"/>
    </row>
    <row r="1983" spans="5:8" ht="15.75">
      <c r="E1983" s="340"/>
      <c r="F1983" s="298"/>
      <c r="G1983" s="298"/>
      <c r="H1983" s="298"/>
    </row>
    <row r="1984" spans="5:8" ht="15.75">
      <c r="E1984" s="340"/>
      <c r="F1984" s="298"/>
      <c r="G1984" s="298"/>
      <c r="H1984" s="298"/>
    </row>
    <row r="1985" spans="5:8" ht="15.75">
      <c r="E1985" s="340"/>
      <c r="F1985" s="298"/>
      <c r="G1985" s="298"/>
      <c r="H1985" s="298"/>
    </row>
    <row r="1986" spans="5:8" ht="15.75">
      <c r="E1986" s="340"/>
      <c r="F1986" s="298"/>
      <c r="G1986" s="298"/>
      <c r="H1986" s="298"/>
    </row>
    <row r="1987" spans="5:8" ht="15.75">
      <c r="E1987" s="340"/>
      <c r="F1987" s="298"/>
      <c r="G1987" s="298"/>
      <c r="H1987" s="298"/>
    </row>
    <row r="1988" spans="5:8" ht="15.75">
      <c r="E1988" s="340"/>
      <c r="F1988" s="298"/>
      <c r="G1988" s="298"/>
      <c r="H1988" s="298"/>
    </row>
    <row r="1989" spans="5:8" ht="15.75">
      <c r="E1989" s="340"/>
      <c r="F1989" s="298"/>
      <c r="G1989" s="298"/>
      <c r="H1989" s="298"/>
    </row>
    <row r="1990" spans="5:8" ht="15.75">
      <c r="E1990" s="340"/>
      <c r="F1990" s="298"/>
      <c r="G1990" s="298"/>
      <c r="H1990" s="298"/>
    </row>
    <row r="1991" spans="5:8" ht="15.75">
      <c r="E1991" s="340"/>
      <c r="F1991" s="298"/>
      <c r="G1991" s="298"/>
      <c r="H1991" s="298"/>
    </row>
    <row r="1992" spans="5:8" ht="15.75">
      <c r="E1992" s="340"/>
      <c r="F1992" s="298"/>
      <c r="G1992" s="298"/>
      <c r="H1992" s="298"/>
    </row>
    <row r="1993" spans="5:8" ht="15.75">
      <c r="E1993" s="340"/>
      <c r="F1993" s="298"/>
      <c r="G1993" s="298"/>
      <c r="H1993" s="298"/>
    </row>
    <row r="1994" spans="5:8" ht="15.75">
      <c r="E1994" s="340"/>
      <c r="F1994" s="298"/>
      <c r="G1994" s="298"/>
      <c r="H1994" s="298"/>
    </row>
    <row r="1995" spans="5:8" ht="15.75">
      <c r="E1995" s="340"/>
      <c r="F1995" s="298"/>
      <c r="G1995" s="298"/>
      <c r="H1995" s="298"/>
    </row>
    <row r="1996" spans="5:8" ht="15.75">
      <c r="E1996" s="340"/>
      <c r="F1996" s="298"/>
      <c r="G1996" s="298"/>
      <c r="H1996" s="298"/>
    </row>
    <row r="1997" spans="5:8" ht="15.75">
      <c r="E1997" s="340"/>
      <c r="F1997" s="298"/>
      <c r="G1997" s="298"/>
      <c r="H1997" s="298"/>
    </row>
    <row r="1998" spans="5:8" ht="15.75">
      <c r="E1998" s="340"/>
      <c r="F1998" s="298"/>
      <c r="G1998" s="298"/>
      <c r="H1998" s="298"/>
    </row>
    <row r="1999" spans="5:8" ht="15.75">
      <c r="E1999" s="340"/>
      <c r="F1999" s="298"/>
      <c r="G1999" s="298"/>
      <c r="H1999" s="298"/>
    </row>
    <row r="2000" spans="5:8" ht="15.75">
      <c r="E2000" s="340"/>
      <c r="F2000" s="298"/>
      <c r="G2000" s="298"/>
      <c r="H2000" s="298"/>
    </row>
    <row r="2001" spans="5:8" ht="15.75">
      <c r="E2001" s="340"/>
      <c r="F2001" s="298"/>
      <c r="G2001" s="298"/>
      <c r="H2001" s="298"/>
    </row>
    <row r="2002" spans="5:8" ht="15.75">
      <c r="E2002" s="340"/>
      <c r="F2002" s="298"/>
      <c r="G2002" s="298"/>
      <c r="H2002" s="298"/>
    </row>
    <row r="2003" spans="5:8" ht="15.75">
      <c r="E2003" s="340"/>
      <c r="F2003" s="298"/>
      <c r="G2003" s="298"/>
      <c r="H2003" s="298"/>
    </row>
    <row r="2004" spans="5:8" ht="15.75">
      <c r="E2004" s="340"/>
      <c r="F2004" s="298"/>
      <c r="G2004" s="298"/>
      <c r="H2004" s="298"/>
    </row>
    <row r="2005" spans="5:8" ht="15.75">
      <c r="E2005" s="340"/>
      <c r="F2005" s="298"/>
      <c r="G2005" s="298"/>
      <c r="H2005" s="298"/>
    </row>
    <row r="2006" spans="5:8" ht="15.75">
      <c r="E2006" s="340"/>
      <c r="F2006" s="298"/>
      <c r="G2006" s="298"/>
      <c r="H2006" s="298"/>
    </row>
    <row r="2007" spans="5:8" ht="15.75">
      <c r="E2007" s="340"/>
      <c r="F2007" s="298"/>
      <c r="G2007" s="298"/>
      <c r="H2007" s="298"/>
    </row>
    <row r="2008" spans="5:8" ht="15.75">
      <c r="E2008" s="340"/>
      <c r="F2008" s="298"/>
      <c r="G2008" s="298"/>
      <c r="H2008" s="298"/>
    </row>
    <row r="2009" spans="5:8" ht="15.75">
      <c r="E2009" s="340"/>
      <c r="F2009" s="298"/>
      <c r="G2009" s="298"/>
      <c r="H2009" s="298"/>
    </row>
    <row r="2010" spans="5:8" ht="15.75">
      <c r="E2010" s="340"/>
      <c r="F2010" s="298"/>
      <c r="G2010" s="298"/>
      <c r="H2010" s="298"/>
    </row>
    <row r="2011" spans="5:8" ht="15.75">
      <c r="E2011" s="340"/>
      <c r="F2011" s="298"/>
      <c r="G2011" s="298"/>
      <c r="H2011" s="298"/>
    </row>
    <row r="2012" spans="5:8" ht="15.75">
      <c r="E2012" s="340"/>
      <c r="F2012" s="298"/>
      <c r="G2012" s="298"/>
      <c r="H2012" s="298"/>
    </row>
    <row r="2013" spans="5:8" ht="15.75">
      <c r="E2013" s="340"/>
      <c r="F2013" s="298"/>
      <c r="G2013" s="298"/>
      <c r="H2013" s="298"/>
    </row>
    <row r="2014" spans="5:8" ht="15.75">
      <c r="E2014" s="340"/>
      <c r="F2014" s="298"/>
      <c r="G2014" s="298"/>
      <c r="H2014" s="298"/>
    </row>
    <row r="2015" spans="5:8" ht="15.75">
      <c r="E2015" s="340"/>
      <c r="F2015" s="298"/>
      <c r="G2015" s="298"/>
      <c r="H2015" s="298"/>
    </row>
    <row r="2016" spans="5:8" ht="15.75">
      <c r="E2016" s="340"/>
      <c r="F2016" s="298"/>
      <c r="G2016" s="298"/>
      <c r="H2016" s="298"/>
    </row>
    <row r="2017" spans="5:8" ht="15.75">
      <c r="E2017" s="340"/>
      <c r="F2017" s="298"/>
      <c r="G2017" s="298"/>
      <c r="H2017" s="298"/>
    </row>
    <row r="2018" spans="5:8" ht="15.75">
      <c r="E2018" s="340"/>
      <c r="F2018" s="298"/>
      <c r="G2018" s="298"/>
      <c r="H2018" s="298"/>
    </row>
    <row r="2019" spans="5:8" ht="15.75">
      <c r="E2019" s="340"/>
      <c r="F2019" s="298"/>
      <c r="G2019" s="298"/>
      <c r="H2019" s="298"/>
    </row>
    <row r="2020" spans="5:8" ht="15.75">
      <c r="E2020" s="340"/>
      <c r="F2020" s="298"/>
      <c r="G2020" s="298"/>
      <c r="H2020" s="298"/>
    </row>
    <row r="2021" spans="5:8" ht="15.75">
      <c r="E2021" s="340"/>
      <c r="F2021" s="298"/>
      <c r="G2021" s="298"/>
      <c r="H2021" s="298"/>
    </row>
    <row r="2022" spans="5:8" ht="15.75">
      <c r="E2022" s="340"/>
      <c r="F2022" s="298"/>
      <c r="G2022" s="298"/>
      <c r="H2022" s="298"/>
    </row>
    <row r="2023" spans="5:8" ht="15.75">
      <c r="E2023" s="340"/>
      <c r="F2023" s="298"/>
      <c r="G2023" s="298"/>
      <c r="H2023" s="298"/>
    </row>
    <row r="2024" spans="5:8" ht="15.75">
      <c r="E2024" s="340"/>
      <c r="F2024" s="298"/>
      <c r="G2024" s="298"/>
      <c r="H2024" s="298"/>
    </row>
    <row r="2025" spans="5:8" ht="15.75">
      <c r="E2025" s="340"/>
      <c r="F2025" s="298"/>
      <c r="G2025" s="298"/>
      <c r="H2025" s="298"/>
    </row>
    <row r="2026" spans="5:8" ht="15.75">
      <c r="E2026" s="340"/>
      <c r="F2026" s="298"/>
      <c r="G2026" s="298"/>
      <c r="H2026" s="298"/>
    </row>
    <row r="2027" spans="5:8" ht="15.75">
      <c r="E2027" s="340"/>
      <c r="F2027" s="298"/>
      <c r="G2027" s="298"/>
      <c r="H2027" s="298"/>
    </row>
    <row r="2028" spans="5:8" ht="15.75">
      <c r="E2028" s="340"/>
      <c r="F2028" s="298"/>
      <c r="G2028" s="298"/>
      <c r="H2028" s="298"/>
    </row>
    <row r="2029" spans="5:8" ht="15.75">
      <c r="E2029" s="340"/>
      <c r="F2029" s="298"/>
      <c r="G2029" s="298"/>
      <c r="H2029" s="298"/>
    </row>
    <row r="2030" spans="5:8" ht="15.75">
      <c r="E2030" s="340"/>
      <c r="F2030" s="298"/>
      <c r="G2030" s="298"/>
      <c r="H2030" s="298"/>
    </row>
    <row r="2031" spans="5:8" ht="15.75">
      <c r="E2031" s="340"/>
      <c r="F2031" s="298"/>
      <c r="G2031" s="298"/>
      <c r="H2031" s="298"/>
    </row>
    <row r="2032" spans="5:8" ht="15.75">
      <c r="E2032" s="340"/>
      <c r="F2032" s="298"/>
      <c r="G2032" s="298"/>
      <c r="H2032" s="298"/>
    </row>
    <row r="2033" spans="5:8" ht="15.75">
      <c r="E2033" s="340"/>
      <c r="F2033" s="298"/>
      <c r="G2033" s="298"/>
      <c r="H2033" s="298"/>
    </row>
    <row r="2034" spans="5:8" ht="15.75">
      <c r="E2034" s="340"/>
      <c r="F2034" s="298"/>
      <c r="G2034" s="298"/>
      <c r="H2034" s="298"/>
    </row>
    <row r="2035" spans="5:8" ht="15.75">
      <c r="E2035" s="340"/>
      <c r="F2035" s="298"/>
      <c r="G2035" s="298"/>
      <c r="H2035" s="298"/>
    </row>
    <row r="2036" spans="5:8" ht="15.75">
      <c r="E2036" s="340"/>
      <c r="F2036" s="298"/>
      <c r="G2036" s="298"/>
      <c r="H2036" s="298"/>
    </row>
    <row r="2037" spans="5:8" ht="15.75">
      <c r="E2037" s="340"/>
      <c r="F2037" s="298"/>
      <c r="G2037" s="298"/>
      <c r="H2037" s="298"/>
    </row>
    <row r="2038" spans="5:8" ht="15.75">
      <c r="E2038" s="340"/>
      <c r="F2038" s="298"/>
      <c r="G2038" s="298"/>
      <c r="H2038" s="298"/>
    </row>
    <row r="2039" spans="5:8" ht="15.75">
      <c r="E2039" s="340"/>
      <c r="F2039" s="298"/>
      <c r="G2039" s="298"/>
      <c r="H2039" s="298"/>
    </row>
    <row r="2040" spans="5:8" ht="15.75">
      <c r="E2040" s="340"/>
      <c r="F2040" s="298"/>
      <c r="G2040" s="298"/>
      <c r="H2040" s="298"/>
    </row>
    <row r="2041" spans="5:8" ht="15.75">
      <c r="E2041" s="340"/>
      <c r="F2041" s="298"/>
      <c r="G2041" s="298"/>
      <c r="H2041" s="298"/>
    </row>
    <row r="2042" spans="5:8" ht="15.75">
      <c r="E2042" s="340"/>
      <c r="F2042" s="298"/>
      <c r="G2042" s="298"/>
      <c r="H2042" s="298"/>
    </row>
    <row r="2043" spans="5:8" ht="15.75">
      <c r="E2043" s="340"/>
      <c r="F2043" s="298"/>
      <c r="G2043" s="298"/>
      <c r="H2043" s="298"/>
    </row>
    <row r="2044" spans="5:8" ht="15.75">
      <c r="E2044" s="340"/>
      <c r="F2044" s="298"/>
      <c r="G2044" s="298"/>
      <c r="H2044" s="298"/>
    </row>
    <row r="2045" spans="5:8" ht="15.75">
      <c r="E2045" s="340"/>
      <c r="F2045" s="298"/>
      <c r="G2045" s="298"/>
      <c r="H2045" s="298"/>
    </row>
    <row r="2046" spans="5:8" ht="15.75">
      <c r="E2046" s="340"/>
      <c r="F2046" s="298"/>
      <c r="G2046" s="298"/>
      <c r="H2046" s="298"/>
    </row>
    <row r="2047" spans="5:8" ht="15.75">
      <c r="E2047" s="340"/>
      <c r="F2047" s="298"/>
      <c r="G2047" s="298"/>
      <c r="H2047" s="298"/>
    </row>
    <row r="2048" spans="5:8" ht="15.75">
      <c r="E2048" s="340"/>
      <c r="F2048" s="298"/>
      <c r="G2048" s="298"/>
      <c r="H2048" s="298"/>
    </row>
    <row r="2049" spans="5:8" ht="15.75">
      <c r="E2049" s="340"/>
      <c r="F2049" s="298"/>
      <c r="G2049" s="298"/>
      <c r="H2049" s="298"/>
    </row>
    <row r="2050" spans="5:8" ht="15.75">
      <c r="E2050" s="340"/>
      <c r="F2050" s="298"/>
      <c r="G2050" s="298"/>
      <c r="H2050" s="298"/>
    </row>
    <row r="2051" spans="5:8" ht="15.75">
      <c r="E2051" s="340"/>
      <c r="F2051" s="298"/>
      <c r="G2051" s="298"/>
      <c r="H2051" s="298"/>
    </row>
    <row r="2052" spans="5:8" ht="15.75">
      <c r="E2052" s="340"/>
      <c r="F2052" s="298"/>
      <c r="G2052" s="298"/>
      <c r="H2052" s="298"/>
    </row>
    <row r="2053" spans="5:8" ht="15.75">
      <c r="E2053" s="340"/>
      <c r="F2053" s="298"/>
      <c r="G2053" s="298"/>
      <c r="H2053" s="298"/>
    </row>
    <row r="2054" spans="5:8" ht="15.75">
      <c r="E2054" s="340"/>
      <c r="F2054" s="298"/>
      <c r="G2054" s="298"/>
      <c r="H2054" s="298"/>
    </row>
    <row r="2055" spans="5:8" ht="15.75">
      <c r="E2055" s="340"/>
      <c r="F2055" s="298"/>
      <c r="G2055" s="298"/>
      <c r="H2055" s="298"/>
    </row>
    <row r="2056" spans="5:8" ht="15.75">
      <c r="E2056" s="340"/>
      <c r="F2056" s="298"/>
      <c r="G2056" s="298"/>
      <c r="H2056" s="298"/>
    </row>
    <row r="2057" spans="5:8" ht="15.75">
      <c r="E2057" s="340"/>
      <c r="F2057" s="298"/>
      <c r="G2057" s="298"/>
      <c r="H2057" s="298"/>
    </row>
    <row r="2058" spans="5:8" ht="15.75">
      <c r="E2058" s="340"/>
      <c r="F2058" s="298"/>
      <c r="G2058" s="298"/>
      <c r="H2058" s="298"/>
    </row>
    <row r="2059" spans="5:8" ht="15.75">
      <c r="E2059" s="340"/>
      <c r="F2059" s="298"/>
      <c r="G2059" s="298"/>
      <c r="H2059" s="298"/>
    </row>
    <row r="2060" spans="5:8" ht="15.75">
      <c r="E2060" s="340"/>
      <c r="F2060" s="298"/>
      <c r="G2060" s="298"/>
      <c r="H2060" s="298"/>
    </row>
    <row r="2061" spans="5:8" ht="15.75">
      <c r="E2061" s="340"/>
      <c r="F2061" s="298"/>
      <c r="G2061" s="298"/>
      <c r="H2061" s="298"/>
    </row>
    <row r="2062" spans="5:8" ht="15.75">
      <c r="E2062" s="340"/>
      <c r="F2062" s="298"/>
      <c r="G2062" s="298"/>
      <c r="H2062" s="298"/>
    </row>
    <row r="2063" spans="5:8" ht="15.75">
      <c r="E2063" s="340"/>
      <c r="F2063" s="298"/>
      <c r="G2063" s="298"/>
      <c r="H2063" s="298"/>
    </row>
    <row r="2064" spans="5:8" ht="15.75">
      <c r="E2064" s="340"/>
      <c r="F2064" s="298"/>
      <c r="G2064" s="298"/>
      <c r="H2064" s="298"/>
    </row>
    <row r="2065" spans="5:8" ht="15.75">
      <c r="E2065" s="340"/>
      <c r="F2065" s="298"/>
      <c r="G2065" s="298"/>
      <c r="H2065" s="298"/>
    </row>
    <row r="2066" spans="5:8" ht="15.75">
      <c r="E2066" s="340"/>
      <c r="F2066" s="298"/>
      <c r="G2066" s="298"/>
      <c r="H2066" s="298"/>
    </row>
    <row r="2067" spans="5:8" ht="15.75">
      <c r="E2067" s="340"/>
      <c r="F2067" s="298"/>
      <c r="G2067" s="298"/>
      <c r="H2067" s="298"/>
    </row>
    <row r="2068" spans="5:8" ht="15.75">
      <c r="E2068" s="340"/>
      <c r="F2068" s="298"/>
      <c r="G2068" s="298"/>
      <c r="H2068" s="298"/>
    </row>
    <row r="2069" spans="5:8" ht="15.75">
      <c r="E2069" s="340"/>
      <c r="F2069" s="298"/>
      <c r="G2069" s="298"/>
      <c r="H2069" s="298"/>
    </row>
    <row r="2070" spans="5:8" ht="15.75">
      <c r="E2070" s="340"/>
      <c r="F2070" s="298"/>
      <c r="G2070" s="298"/>
      <c r="H2070" s="298"/>
    </row>
    <row r="2071" spans="5:8" ht="15.75">
      <c r="E2071" s="340"/>
      <c r="F2071" s="298"/>
      <c r="G2071" s="298"/>
      <c r="H2071" s="298"/>
    </row>
    <row r="2072" spans="5:8" ht="15.75">
      <c r="E2072" s="340"/>
      <c r="F2072" s="298"/>
      <c r="G2072" s="298"/>
      <c r="H2072" s="298"/>
    </row>
    <row r="2073" spans="5:8" ht="15.75">
      <c r="E2073" s="340"/>
      <c r="F2073" s="298"/>
      <c r="G2073" s="298"/>
      <c r="H2073" s="298"/>
    </row>
    <row r="2074" spans="5:8" ht="15.75">
      <c r="E2074" s="340"/>
      <c r="F2074" s="298"/>
      <c r="G2074" s="298"/>
      <c r="H2074" s="298"/>
    </row>
    <row r="2075" spans="5:8" ht="15.75">
      <c r="E2075" s="340"/>
      <c r="F2075" s="298"/>
      <c r="G2075" s="298"/>
      <c r="H2075" s="298"/>
    </row>
    <row r="2076" spans="5:8" ht="15.75">
      <c r="E2076" s="340"/>
      <c r="F2076" s="298"/>
      <c r="G2076" s="298"/>
      <c r="H2076" s="298"/>
    </row>
    <row r="2077" spans="5:8" ht="15.75">
      <c r="E2077" s="340"/>
      <c r="F2077" s="298"/>
      <c r="G2077" s="298"/>
      <c r="H2077" s="298"/>
    </row>
    <row r="2078" spans="5:8" ht="15.75">
      <c r="E2078" s="340"/>
      <c r="F2078" s="298"/>
      <c r="G2078" s="298"/>
      <c r="H2078" s="298"/>
    </row>
    <row r="2079" spans="5:8" ht="15.75">
      <c r="E2079" s="340"/>
      <c r="F2079" s="298"/>
      <c r="G2079" s="298"/>
      <c r="H2079" s="298"/>
    </row>
    <row r="2080" spans="5:8" ht="15.75">
      <c r="E2080" s="340"/>
      <c r="F2080" s="298"/>
      <c r="G2080" s="298"/>
      <c r="H2080" s="298"/>
    </row>
    <row r="2081" spans="5:8" ht="15.75">
      <c r="E2081" s="340"/>
      <c r="F2081" s="298"/>
      <c r="G2081" s="298"/>
      <c r="H2081" s="298"/>
    </row>
    <row r="2082" spans="5:8" ht="15.75">
      <c r="E2082" s="340"/>
      <c r="F2082" s="298"/>
      <c r="G2082" s="298"/>
      <c r="H2082" s="298"/>
    </row>
    <row r="2083" spans="5:8" ht="15.75">
      <c r="E2083" s="340"/>
      <c r="F2083" s="298"/>
      <c r="G2083" s="298"/>
      <c r="H2083" s="298"/>
    </row>
    <row r="2084" spans="5:8" ht="15.75">
      <c r="E2084" s="340"/>
      <c r="F2084" s="298"/>
      <c r="G2084" s="298"/>
      <c r="H2084" s="298"/>
    </row>
    <row r="2085" spans="5:8" ht="15.75">
      <c r="E2085" s="340"/>
      <c r="F2085" s="298"/>
      <c r="G2085" s="298"/>
      <c r="H2085" s="298"/>
    </row>
    <row r="2086" spans="5:8" ht="15.75">
      <c r="E2086" s="340"/>
      <c r="F2086" s="298"/>
      <c r="G2086" s="298"/>
      <c r="H2086" s="298"/>
    </row>
    <row r="2087" spans="5:8" ht="15.75">
      <c r="E2087" s="340"/>
      <c r="F2087" s="298"/>
      <c r="G2087" s="298"/>
      <c r="H2087" s="298"/>
    </row>
    <row r="2088" spans="5:8" ht="15.75">
      <c r="E2088" s="340"/>
      <c r="F2088" s="298"/>
      <c r="G2088" s="298"/>
      <c r="H2088" s="298"/>
    </row>
    <row r="2089" spans="5:8" ht="15.75">
      <c r="E2089" s="340"/>
      <c r="F2089" s="298"/>
      <c r="G2089" s="298"/>
      <c r="H2089" s="298"/>
    </row>
    <row r="2090" spans="5:8" ht="15.75">
      <c r="E2090" s="340"/>
      <c r="F2090" s="298"/>
      <c r="G2090" s="298"/>
      <c r="H2090" s="298"/>
    </row>
    <row r="2091" spans="5:8" ht="15.75">
      <c r="E2091" s="340"/>
      <c r="F2091" s="298"/>
      <c r="G2091" s="298"/>
      <c r="H2091" s="298"/>
    </row>
    <row r="2092" spans="5:8" ht="15.75">
      <c r="E2092" s="340"/>
      <c r="F2092" s="298"/>
      <c r="G2092" s="298"/>
      <c r="H2092" s="298"/>
    </row>
    <row r="2093" spans="5:8" ht="15.75">
      <c r="E2093" s="340"/>
      <c r="F2093" s="298"/>
      <c r="G2093" s="298"/>
      <c r="H2093" s="298"/>
    </row>
    <row r="2094" spans="5:8" ht="15.75">
      <c r="E2094" s="340"/>
      <c r="F2094" s="298"/>
      <c r="G2094" s="298"/>
      <c r="H2094" s="298"/>
    </row>
    <row r="2095" spans="5:8" ht="15.75">
      <c r="E2095" s="340"/>
      <c r="F2095" s="298"/>
      <c r="G2095" s="298"/>
      <c r="H2095" s="298"/>
    </row>
    <row r="2096" spans="5:8" ht="15.75">
      <c r="E2096" s="340"/>
      <c r="F2096" s="298"/>
      <c r="G2096" s="298"/>
      <c r="H2096" s="298"/>
    </row>
    <row r="2097" spans="5:8" ht="15.75">
      <c r="E2097" s="340"/>
      <c r="F2097" s="298"/>
      <c r="G2097" s="298"/>
      <c r="H2097" s="298"/>
    </row>
    <row r="2098" spans="5:8" ht="15.75">
      <c r="E2098" s="340"/>
      <c r="F2098" s="298"/>
      <c r="G2098" s="298"/>
      <c r="H2098" s="298"/>
    </row>
    <row r="2099" spans="5:8" ht="15.75">
      <c r="E2099" s="340"/>
      <c r="F2099" s="298"/>
      <c r="G2099" s="298"/>
      <c r="H2099" s="298"/>
    </row>
    <row r="2100" spans="5:8" ht="15.75">
      <c r="E2100" s="340"/>
      <c r="F2100" s="298"/>
      <c r="G2100" s="298"/>
      <c r="H2100" s="298"/>
    </row>
    <row r="2101" spans="5:8" ht="15.75">
      <c r="E2101" s="340"/>
      <c r="F2101" s="298"/>
      <c r="G2101" s="298"/>
      <c r="H2101" s="298"/>
    </row>
    <row r="2102" spans="5:8" ht="15.75">
      <c r="E2102" s="340"/>
      <c r="F2102" s="298"/>
      <c r="G2102" s="298"/>
      <c r="H2102" s="298"/>
    </row>
    <row r="2103" spans="5:8" ht="15.75">
      <c r="E2103" s="340"/>
      <c r="F2103" s="298"/>
      <c r="G2103" s="298"/>
      <c r="H2103" s="298"/>
    </row>
    <row r="2104" spans="5:8" ht="15.75">
      <c r="E2104" s="340"/>
      <c r="F2104" s="298"/>
      <c r="G2104" s="298"/>
      <c r="H2104" s="298"/>
    </row>
    <row r="2105" spans="5:8" ht="15.75">
      <c r="E2105" s="340"/>
      <c r="F2105" s="298"/>
      <c r="G2105" s="298"/>
      <c r="H2105" s="298"/>
    </row>
    <row r="2106" spans="5:8" ht="15.75">
      <c r="E2106" s="340"/>
      <c r="F2106" s="298"/>
      <c r="G2106" s="298"/>
      <c r="H2106" s="298"/>
    </row>
    <row r="2107" spans="5:8" ht="15.75">
      <c r="E2107" s="340"/>
      <c r="F2107" s="298"/>
      <c r="G2107" s="298"/>
      <c r="H2107" s="298"/>
    </row>
    <row r="2108" spans="5:8" ht="15.75">
      <c r="E2108" s="340"/>
      <c r="F2108" s="298"/>
      <c r="G2108" s="298"/>
      <c r="H2108" s="298"/>
    </row>
    <row r="2109" spans="5:8" ht="15.75">
      <c r="E2109" s="340"/>
      <c r="F2109" s="298"/>
      <c r="G2109" s="298"/>
      <c r="H2109" s="298"/>
    </row>
    <row r="2110" spans="5:8" ht="15.75">
      <c r="E2110" s="340"/>
      <c r="F2110" s="298"/>
      <c r="G2110" s="298"/>
      <c r="H2110" s="298"/>
    </row>
    <row r="2111" spans="5:8" ht="15.75">
      <c r="E2111" s="340"/>
      <c r="F2111" s="298"/>
      <c r="G2111" s="298"/>
      <c r="H2111" s="298"/>
    </row>
    <row r="2112" spans="5:8" ht="15.75">
      <c r="E2112" s="340"/>
      <c r="F2112" s="298"/>
      <c r="G2112" s="298"/>
      <c r="H2112" s="298"/>
    </row>
    <row r="2113" spans="5:8" ht="15.75">
      <c r="E2113" s="340"/>
      <c r="F2113" s="298"/>
      <c r="G2113" s="298"/>
      <c r="H2113" s="298"/>
    </row>
    <row r="2114" spans="5:8" ht="15.75">
      <c r="E2114" s="340"/>
      <c r="F2114" s="298"/>
      <c r="G2114" s="298"/>
      <c r="H2114" s="298"/>
    </row>
    <row r="2115" spans="5:8" ht="15.75">
      <c r="E2115" s="340"/>
      <c r="F2115" s="298"/>
      <c r="G2115" s="298"/>
      <c r="H2115" s="298"/>
    </row>
    <row r="2116" spans="5:8" ht="15.75">
      <c r="E2116" s="340"/>
      <c r="F2116" s="298"/>
      <c r="G2116" s="298"/>
      <c r="H2116" s="298"/>
    </row>
    <row r="2117" spans="5:8" ht="15.75">
      <c r="E2117" s="340"/>
      <c r="F2117" s="298"/>
      <c r="G2117" s="298"/>
      <c r="H2117" s="298"/>
    </row>
    <row r="2118" spans="5:8" ht="15.75">
      <c r="E2118" s="340"/>
      <c r="F2118" s="298"/>
      <c r="G2118" s="298"/>
      <c r="H2118" s="298"/>
    </row>
    <row r="2119" spans="5:8" ht="15.75">
      <c r="E2119" s="340"/>
      <c r="F2119" s="298"/>
      <c r="G2119" s="298"/>
      <c r="H2119" s="298"/>
    </row>
    <row r="2120" spans="5:8" ht="15.75">
      <c r="E2120" s="340"/>
      <c r="F2120" s="298"/>
      <c r="G2120" s="298"/>
      <c r="H2120" s="298"/>
    </row>
    <row r="2121" spans="5:8" ht="15.75">
      <c r="E2121" s="340"/>
      <c r="F2121" s="298"/>
      <c r="G2121" s="298"/>
      <c r="H2121" s="298"/>
    </row>
    <row r="2122" spans="5:8" ht="15.75">
      <c r="E2122" s="340"/>
      <c r="F2122" s="298"/>
      <c r="G2122" s="298"/>
      <c r="H2122" s="298"/>
    </row>
    <row r="2123" spans="5:8" ht="15.75">
      <c r="E2123" s="340"/>
      <c r="F2123" s="298"/>
      <c r="G2123" s="298"/>
      <c r="H2123" s="298"/>
    </row>
    <row r="2124" spans="5:8" ht="15.75">
      <c r="E2124" s="340"/>
      <c r="F2124" s="298"/>
      <c r="G2124" s="298"/>
      <c r="H2124" s="298"/>
    </row>
    <row r="2125" spans="5:8" ht="15.75">
      <c r="E2125" s="340"/>
      <c r="F2125" s="298"/>
      <c r="G2125" s="298"/>
      <c r="H2125" s="298"/>
    </row>
    <row r="2126" spans="5:8" ht="15.75">
      <c r="E2126" s="340"/>
      <c r="F2126" s="298"/>
      <c r="G2126" s="298"/>
      <c r="H2126" s="298"/>
    </row>
    <row r="2127" spans="5:8" ht="15.75">
      <c r="E2127" s="340"/>
      <c r="F2127" s="298"/>
      <c r="G2127" s="298"/>
      <c r="H2127" s="298"/>
    </row>
    <row r="2128" spans="5:8" ht="15.75">
      <c r="E2128" s="340"/>
      <c r="F2128" s="298"/>
      <c r="G2128" s="298"/>
      <c r="H2128" s="298"/>
    </row>
    <row r="2129" spans="5:8" ht="15.75">
      <c r="E2129" s="340"/>
      <c r="F2129" s="298"/>
      <c r="G2129" s="298"/>
      <c r="H2129" s="298"/>
    </row>
    <row r="2130" spans="5:8" ht="15.75">
      <c r="E2130" s="340"/>
      <c r="F2130" s="298"/>
      <c r="G2130" s="298"/>
      <c r="H2130" s="298"/>
    </row>
    <row r="2131" spans="5:8" ht="15.75">
      <c r="E2131" s="340"/>
      <c r="F2131" s="298"/>
      <c r="G2131" s="298"/>
      <c r="H2131" s="298"/>
    </row>
    <row r="2132" spans="5:8" ht="15.75">
      <c r="E2132" s="340"/>
      <c r="F2132" s="298"/>
      <c r="G2132" s="298"/>
      <c r="H2132" s="298"/>
    </row>
    <row r="2133" spans="5:8" ht="15.75">
      <c r="E2133" s="340"/>
      <c r="F2133" s="298"/>
      <c r="G2133" s="298"/>
      <c r="H2133" s="298"/>
    </row>
    <row r="2134" spans="5:8" ht="15.75">
      <c r="E2134" s="340"/>
      <c r="F2134" s="298"/>
      <c r="G2134" s="298"/>
      <c r="H2134" s="298"/>
    </row>
    <row r="2135" spans="5:8" ht="15.75">
      <c r="E2135" s="340"/>
      <c r="F2135" s="298"/>
      <c r="G2135" s="298"/>
      <c r="H2135" s="298"/>
    </row>
    <row r="2136" spans="5:8" ht="15.75">
      <c r="E2136" s="340"/>
      <c r="F2136" s="298"/>
      <c r="G2136" s="298"/>
      <c r="H2136" s="298"/>
    </row>
    <row r="2137" spans="5:8" ht="15.75">
      <c r="E2137" s="340"/>
      <c r="F2137" s="298"/>
      <c r="G2137" s="298"/>
      <c r="H2137" s="298"/>
    </row>
    <row r="2138" spans="5:8" ht="15.75">
      <c r="E2138" s="340"/>
      <c r="F2138" s="298"/>
      <c r="G2138" s="298"/>
      <c r="H2138" s="298"/>
    </row>
    <row r="2139" spans="5:8" ht="15.75">
      <c r="E2139" s="340"/>
      <c r="F2139" s="298"/>
      <c r="G2139" s="298"/>
      <c r="H2139" s="298"/>
    </row>
    <row r="2140" spans="5:8" ht="15.75">
      <c r="E2140" s="340"/>
      <c r="F2140" s="298"/>
      <c r="G2140" s="298"/>
      <c r="H2140" s="298"/>
    </row>
    <row r="2141" spans="5:8" ht="15.75">
      <c r="E2141" s="340"/>
      <c r="F2141" s="298"/>
      <c r="G2141" s="298"/>
      <c r="H2141" s="298"/>
    </row>
    <row r="2142" spans="5:8" ht="15.75">
      <c r="E2142" s="340"/>
      <c r="F2142" s="298"/>
      <c r="G2142" s="298"/>
      <c r="H2142" s="298"/>
    </row>
    <row r="2143" spans="5:8" ht="15.75">
      <c r="E2143" s="340"/>
      <c r="F2143" s="298"/>
      <c r="G2143" s="298"/>
      <c r="H2143" s="298"/>
    </row>
    <row r="2144" spans="5:8" ht="15.75">
      <c r="E2144" s="340"/>
      <c r="F2144" s="298"/>
      <c r="G2144" s="298"/>
      <c r="H2144" s="298"/>
    </row>
    <row r="2145" spans="5:8" ht="15.75">
      <c r="E2145" s="340"/>
      <c r="F2145" s="298"/>
      <c r="G2145" s="298"/>
      <c r="H2145" s="298"/>
    </row>
    <row r="2146" spans="5:8" ht="15.75">
      <c r="E2146" s="340"/>
      <c r="F2146" s="298"/>
      <c r="G2146" s="298"/>
      <c r="H2146" s="298"/>
    </row>
    <row r="2147" spans="5:8" ht="15.75">
      <c r="E2147" s="340"/>
      <c r="F2147" s="298"/>
      <c r="G2147" s="298"/>
      <c r="H2147" s="298"/>
    </row>
    <row r="2148" spans="5:8" ht="15.75">
      <c r="E2148" s="340"/>
      <c r="F2148" s="298"/>
      <c r="G2148" s="298"/>
      <c r="H2148" s="298"/>
    </row>
    <row r="2149" spans="5:8" ht="15.75">
      <c r="E2149" s="340"/>
      <c r="F2149" s="298"/>
      <c r="G2149" s="298"/>
      <c r="H2149" s="298"/>
    </row>
    <row r="2150" spans="5:8" ht="15.75">
      <c r="E2150" s="340"/>
      <c r="F2150" s="298"/>
      <c r="G2150" s="298"/>
      <c r="H2150" s="298"/>
    </row>
    <row r="2151" spans="5:8" ht="15.75">
      <c r="E2151" s="340"/>
      <c r="F2151" s="298"/>
      <c r="G2151" s="298"/>
      <c r="H2151" s="298"/>
    </row>
    <row r="2152" spans="5:8" ht="15.75">
      <c r="E2152" s="340"/>
      <c r="F2152" s="298"/>
      <c r="G2152" s="298"/>
      <c r="H2152" s="298"/>
    </row>
    <row r="2153" spans="5:8" ht="15.75">
      <c r="E2153" s="340"/>
      <c r="F2153" s="298"/>
      <c r="G2153" s="298"/>
      <c r="H2153" s="298"/>
    </row>
    <row r="2154" spans="5:8" ht="15.75">
      <c r="E2154" s="340"/>
      <c r="F2154" s="298"/>
      <c r="G2154" s="298"/>
      <c r="H2154" s="298"/>
    </row>
    <row r="2155" spans="5:8" ht="15.75">
      <c r="E2155" s="340"/>
      <c r="F2155" s="298"/>
      <c r="G2155" s="298"/>
      <c r="H2155" s="298"/>
    </row>
    <row r="2156" spans="5:8" ht="15.75">
      <c r="E2156" s="340"/>
      <c r="F2156" s="298"/>
      <c r="G2156" s="298"/>
      <c r="H2156" s="298"/>
    </row>
    <row r="2157" spans="5:8" ht="15.75">
      <c r="E2157" s="340"/>
      <c r="F2157" s="298"/>
      <c r="G2157" s="298"/>
      <c r="H2157" s="298"/>
    </row>
    <row r="2158" spans="5:8" ht="15.75">
      <c r="E2158" s="340"/>
      <c r="F2158" s="298"/>
      <c r="G2158" s="298"/>
      <c r="H2158" s="298"/>
    </row>
    <row r="2159" spans="5:8" ht="15.75">
      <c r="E2159" s="340"/>
      <c r="F2159" s="298"/>
      <c r="G2159" s="298"/>
      <c r="H2159" s="298"/>
    </row>
    <row r="2160" spans="5:8" ht="15.75">
      <c r="E2160" s="340"/>
      <c r="F2160" s="298"/>
      <c r="G2160" s="298"/>
      <c r="H2160" s="298"/>
    </row>
    <row r="2161" spans="5:8" ht="15.75">
      <c r="E2161" s="340"/>
      <c r="F2161" s="298"/>
      <c r="G2161" s="298"/>
      <c r="H2161" s="298"/>
    </row>
    <row r="2162" spans="5:8" ht="15.75">
      <c r="E2162" s="340"/>
      <c r="F2162" s="298"/>
      <c r="G2162" s="298"/>
      <c r="H2162" s="298"/>
    </row>
    <row r="2163" spans="5:8" ht="15.75">
      <c r="E2163" s="340"/>
      <c r="F2163" s="298"/>
      <c r="G2163" s="298"/>
      <c r="H2163" s="298"/>
    </row>
    <row r="2164" spans="5:8" ht="15.75">
      <c r="E2164" s="340"/>
      <c r="F2164" s="298"/>
      <c r="G2164" s="298"/>
      <c r="H2164" s="298"/>
    </row>
    <row r="2165" spans="5:8" ht="15.75">
      <c r="E2165" s="340"/>
      <c r="F2165" s="298"/>
      <c r="G2165" s="298"/>
      <c r="H2165" s="298"/>
    </row>
    <row r="2166" spans="5:8" ht="15.75">
      <c r="E2166" s="340"/>
      <c r="F2166" s="298"/>
      <c r="G2166" s="298"/>
      <c r="H2166" s="298"/>
    </row>
    <row r="2167" spans="5:8" ht="15.75">
      <c r="E2167" s="340"/>
      <c r="F2167" s="298"/>
      <c r="G2167" s="298"/>
      <c r="H2167" s="298"/>
    </row>
    <row r="2168" spans="5:8" ht="15.75">
      <c r="E2168" s="340"/>
      <c r="F2168" s="298"/>
      <c r="G2168" s="298"/>
      <c r="H2168" s="298"/>
    </row>
    <row r="2169" spans="5:8" ht="15.75">
      <c r="E2169" s="340"/>
      <c r="F2169" s="298"/>
      <c r="G2169" s="298"/>
      <c r="H2169" s="298"/>
    </row>
    <row r="2170" spans="5:8" ht="15.75">
      <c r="E2170" s="340"/>
      <c r="F2170" s="298"/>
      <c r="G2170" s="298"/>
      <c r="H2170" s="298"/>
    </row>
    <row r="2171" spans="5:8" ht="15.75">
      <c r="E2171" s="340"/>
      <c r="F2171" s="298"/>
      <c r="G2171" s="298"/>
      <c r="H2171" s="298"/>
    </row>
    <row r="2172" spans="5:8" ht="15.75">
      <c r="E2172" s="340"/>
      <c r="F2172" s="298"/>
      <c r="G2172" s="298"/>
      <c r="H2172" s="298"/>
    </row>
    <row r="2173" spans="5:8" ht="15.75">
      <c r="E2173" s="340"/>
      <c r="F2173" s="298"/>
      <c r="G2173" s="298"/>
      <c r="H2173" s="298"/>
    </row>
    <row r="2174" spans="5:8" ht="15.75">
      <c r="E2174" s="340"/>
      <c r="F2174" s="298"/>
      <c r="G2174" s="298"/>
      <c r="H2174" s="298"/>
    </row>
    <row r="2175" spans="5:8" ht="15.75">
      <c r="E2175" s="340"/>
      <c r="F2175" s="298"/>
      <c r="G2175" s="298"/>
      <c r="H2175" s="298"/>
    </row>
    <row r="2176" spans="5:8" ht="15.75">
      <c r="E2176" s="340"/>
      <c r="F2176" s="298"/>
      <c r="G2176" s="298"/>
      <c r="H2176" s="298"/>
    </row>
    <row r="2177" spans="5:8" ht="15.75">
      <c r="E2177" s="340"/>
      <c r="F2177" s="298"/>
      <c r="G2177" s="298"/>
      <c r="H2177" s="298"/>
    </row>
    <row r="2178" spans="5:8" ht="15.75">
      <c r="E2178" s="340"/>
      <c r="F2178" s="298"/>
      <c r="G2178" s="298"/>
      <c r="H2178" s="298"/>
    </row>
    <row r="2179" spans="5:8" ht="15.75">
      <c r="E2179" s="340"/>
      <c r="F2179" s="298"/>
      <c r="G2179" s="298"/>
      <c r="H2179" s="298"/>
    </row>
    <row r="2180" spans="5:8" ht="15.75">
      <c r="E2180" s="340"/>
      <c r="F2180" s="298"/>
      <c r="G2180" s="298"/>
      <c r="H2180" s="298"/>
    </row>
    <row r="2181" spans="5:8" ht="15.75">
      <c r="E2181" s="340"/>
      <c r="F2181" s="298"/>
      <c r="G2181" s="298"/>
      <c r="H2181" s="298"/>
    </row>
    <row r="2182" spans="5:8" ht="15.75">
      <c r="E2182" s="340"/>
      <c r="F2182" s="298"/>
      <c r="G2182" s="298"/>
      <c r="H2182" s="298"/>
    </row>
    <row r="2183" spans="5:8" ht="15.75">
      <c r="E2183" s="340"/>
      <c r="F2183" s="298"/>
      <c r="G2183" s="298"/>
      <c r="H2183" s="298"/>
    </row>
    <row r="2184" spans="5:8" ht="15.75">
      <c r="E2184" s="340"/>
      <c r="F2184" s="298"/>
      <c r="G2184" s="298"/>
      <c r="H2184" s="298"/>
    </row>
    <row r="2185" spans="5:8" ht="15.75">
      <c r="E2185" s="340"/>
      <c r="F2185" s="298"/>
      <c r="G2185" s="298"/>
      <c r="H2185" s="298"/>
    </row>
    <row r="2186" spans="5:8" ht="15.75">
      <c r="E2186" s="340"/>
      <c r="F2186" s="298"/>
      <c r="G2186" s="298"/>
      <c r="H2186" s="298"/>
    </row>
    <row r="2187" spans="5:8" ht="15.75">
      <c r="E2187" s="340"/>
      <c r="F2187" s="298"/>
      <c r="G2187" s="298"/>
      <c r="H2187" s="298"/>
    </row>
    <row r="2188" spans="5:8" ht="15.75">
      <c r="E2188" s="340"/>
      <c r="F2188" s="298"/>
      <c r="G2188" s="298"/>
      <c r="H2188" s="298"/>
    </row>
    <row r="2189" spans="5:8" ht="15.75">
      <c r="E2189" s="340"/>
      <c r="F2189" s="298"/>
      <c r="G2189" s="298"/>
      <c r="H2189" s="298"/>
    </row>
    <row r="2190" spans="5:8" ht="15.75">
      <c r="E2190" s="340"/>
      <c r="F2190" s="298"/>
      <c r="G2190" s="298"/>
      <c r="H2190" s="298"/>
    </row>
    <row r="2191" spans="5:8" ht="15.75">
      <c r="E2191" s="340"/>
      <c r="F2191" s="298"/>
      <c r="G2191" s="298"/>
      <c r="H2191" s="298"/>
    </row>
    <row r="2192" spans="5:8" ht="15.75">
      <c r="E2192" s="340"/>
      <c r="F2192" s="298"/>
      <c r="G2192" s="298"/>
      <c r="H2192" s="298"/>
    </row>
    <row r="2193" spans="5:8" ht="15.75">
      <c r="E2193" s="340"/>
      <c r="F2193" s="298"/>
      <c r="G2193" s="298"/>
      <c r="H2193" s="298"/>
    </row>
    <row r="2194" spans="5:8" ht="15.75">
      <c r="E2194" s="340"/>
      <c r="F2194" s="298"/>
      <c r="G2194" s="298"/>
      <c r="H2194" s="298"/>
    </row>
    <row r="2195" spans="5:8" ht="15.75">
      <c r="E2195" s="340"/>
      <c r="F2195" s="298"/>
      <c r="G2195" s="298"/>
      <c r="H2195" s="298"/>
    </row>
    <row r="2196" spans="5:8" ht="15.75">
      <c r="E2196" s="340"/>
      <c r="F2196" s="298"/>
      <c r="G2196" s="298"/>
      <c r="H2196" s="298"/>
    </row>
    <row r="2197" spans="5:8" ht="15.75">
      <c r="E2197" s="340"/>
      <c r="F2197" s="298"/>
      <c r="G2197" s="298"/>
      <c r="H2197" s="298"/>
    </row>
    <row r="2198" spans="5:8" ht="15.75">
      <c r="E2198" s="340"/>
      <c r="F2198" s="298"/>
      <c r="G2198" s="298"/>
      <c r="H2198" s="298"/>
    </row>
    <row r="2199" spans="5:8" ht="15.75">
      <c r="E2199" s="340"/>
      <c r="F2199" s="298"/>
      <c r="G2199" s="298"/>
      <c r="H2199" s="298"/>
    </row>
    <row r="2200" spans="5:8" ht="15.75">
      <c r="E2200" s="340"/>
      <c r="F2200" s="298"/>
      <c r="G2200" s="298"/>
      <c r="H2200" s="298"/>
    </row>
    <row r="2201" spans="5:8" ht="15.75">
      <c r="E2201" s="340"/>
      <c r="F2201" s="298"/>
      <c r="G2201" s="298"/>
      <c r="H2201" s="298"/>
    </row>
    <row r="2202" spans="5:8" ht="15.75">
      <c r="E2202" s="340"/>
      <c r="F2202" s="298"/>
      <c r="G2202" s="298"/>
      <c r="H2202" s="298"/>
    </row>
    <row r="2203" spans="5:8" ht="15.75">
      <c r="E2203" s="340"/>
      <c r="F2203" s="298"/>
      <c r="G2203" s="298"/>
      <c r="H2203" s="298"/>
    </row>
    <row r="2204" spans="5:8" ht="15.75">
      <c r="E2204" s="340"/>
      <c r="F2204" s="298"/>
      <c r="G2204" s="298"/>
      <c r="H2204" s="298"/>
    </row>
    <row r="2205" spans="5:8" ht="15.75">
      <c r="E2205" s="340"/>
      <c r="F2205" s="298"/>
      <c r="G2205" s="298"/>
      <c r="H2205" s="298"/>
    </row>
    <row r="2206" spans="5:8" ht="15.75">
      <c r="E2206" s="340"/>
      <c r="F2206" s="298"/>
      <c r="G2206" s="298"/>
      <c r="H2206" s="298"/>
    </row>
    <row r="2207" spans="5:8" ht="15.75">
      <c r="E2207" s="340"/>
      <c r="F2207" s="298"/>
      <c r="G2207" s="298"/>
      <c r="H2207" s="298"/>
    </row>
    <row r="2208" spans="5:8" ht="15.75">
      <c r="E2208" s="340"/>
      <c r="F2208" s="298"/>
      <c r="G2208" s="298"/>
      <c r="H2208" s="298"/>
    </row>
    <row r="2209" spans="5:8" ht="15.75">
      <c r="E2209" s="340"/>
      <c r="F2209" s="298"/>
      <c r="G2209" s="298"/>
      <c r="H2209" s="298"/>
    </row>
    <row r="2210" spans="5:8" ht="15.75">
      <c r="E2210" s="340"/>
      <c r="F2210" s="298"/>
      <c r="G2210" s="298"/>
      <c r="H2210" s="298"/>
    </row>
    <row r="2211" spans="5:8" ht="15.75">
      <c r="E2211" s="340"/>
      <c r="F2211" s="298"/>
      <c r="G2211" s="298"/>
      <c r="H2211" s="298"/>
    </row>
    <row r="2212" spans="5:8" ht="15.75">
      <c r="E2212" s="340"/>
      <c r="F2212" s="298"/>
      <c r="G2212" s="298"/>
      <c r="H2212" s="298"/>
    </row>
    <row r="2213" spans="5:8" ht="15.75">
      <c r="E2213" s="340"/>
      <c r="F2213" s="298"/>
      <c r="G2213" s="298"/>
      <c r="H2213" s="298"/>
    </row>
    <row r="2214" spans="5:8" ht="15.75">
      <c r="E2214" s="340"/>
      <c r="F2214" s="298"/>
      <c r="G2214" s="298"/>
      <c r="H2214" s="298"/>
    </row>
    <row r="2215" spans="5:8" ht="15.75">
      <c r="E2215" s="340"/>
      <c r="F2215" s="298"/>
      <c r="G2215" s="298"/>
      <c r="H2215" s="298"/>
    </row>
    <row r="2216" spans="5:8" ht="15.75">
      <c r="E2216" s="340"/>
      <c r="F2216" s="298"/>
      <c r="G2216" s="298"/>
      <c r="H2216" s="298"/>
    </row>
    <row r="2217" spans="5:8" ht="15.75">
      <c r="E2217" s="340"/>
      <c r="F2217" s="298"/>
      <c r="G2217" s="298"/>
      <c r="H2217" s="298"/>
    </row>
    <row r="2218" spans="5:8" ht="15.75">
      <c r="E2218" s="340"/>
      <c r="F2218" s="298"/>
      <c r="G2218" s="298"/>
      <c r="H2218" s="298"/>
    </row>
    <row r="2219" spans="5:8" ht="15.75">
      <c r="E2219" s="340"/>
      <c r="F2219" s="298"/>
      <c r="G2219" s="298"/>
      <c r="H2219" s="298"/>
    </row>
    <row r="2220" spans="5:8" ht="15.75">
      <c r="E2220" s="340"/>
      <c r="F2220" s="298"/>
      <c r="G2220" s="298"/>
      <c r="H2220" s="298"/>
    </row>
    <row r="2221" spans="5:8" ht="15.75">
      <c r="E2221" s="340"/>
      <c r="F2221" s="298"/>
      <c r="G2221" s="298"/>
      <c r="H2221" s="298"/>
    </row>
    <row r="2222" spans="5:8" ht="15.75">
      <c r="E2222" s="340"/>
      <c r="F2222" s="298"/>
      <c r="G2222" s="298"/>
      <c r="H2222" s="298"/>
    </row>
  </sheetData>
  <sheetProtection/>
  <mergeCells count="2">
    <mergeCell ref="A1:H1"/>
    <mergeCell ref="E3:F3"/>
  </mergeCells>
  <printOptions gridLines="1"/>
  <pageMargins left="0.4330708661417323" right="0.1968503937007874" top="0.7874015748031497" bottom="0.7874015748031497" header="0.5905511811023623" footer="0.5905511811023623"/>
  <pageSetup horizontalDpi="600" verticalDpi="600" orientation="portrait" paperSize="9" scale="53" r:id="rId1"/>
  <headerFooter alignWithMargins="0">
    <oddFooter>&amp;L&amp;"Arial,obyčejné"&amp;9&amp;D&amp;C&amp;"Arial,obyčejné"&amp;9Stránka &amp;P z &amp;N&amp;R&amp;"Arial CE,obyčejné"&amp;F   &amp;A</oddFooter>
  </headerFooter>
  <rowBreaks count="8" manualBreakCount="8">
    <brk id="56" max="7" man="1"/>
    <brk id="87" max="7" man="1"/>
    <brk id="139" max="7" man="1"/>
    <brk id="169" max="7" man="1"/>
    <brk id="188" max="7" man="1"/>
    <brk id="198" max="7" man="1"/>
    <brk id="201" max="7" man="1"/>
    <brk id="204" max="7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35"/>
  <sheetViews>
    <sheetView zoomScalePageLayoutView="0" workbookViewId="0" topLeftCell="A1">
      <selection activeCell="H39" sqref="H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8.421875" style="0" customWidth="1"/>
    <col min="4" max="4" width="17.5742187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9.28125" style="0" customWidth="1"/>
  </cols>
  <sheetData>
    <row r="1" spans="1:9" ht="72.75" customHeight="1">
      <c r="A1" s="74"/>
      <c r="B1" s="1"/>
      <c r="C1" s="349" t="s">
        <v>126</v>
      </c>
      <c r="D1" s="350"/>
      <c r="E1" s="350"/>
      <c r="F1" s="350"/>
      <c r="G1" s="350"/>
      <c r="H1" s="350"/>
      <c r="I1" s="350"/>
    </row>
    <row r="2" spans="1:10" ht="12.75">
      <c r="A2" s="351" t="s">
        <v>0</v>
      </c>
      <c r="B2" s="352"/>
      <c r="C2" s="355" t="str">
        <f>'Stavební rozpočet'!D2</f>
        <v>MŠ Velký Borek, energeticky úsporné větrání</v>
      </c>
      <c r="D2" s="356"/>
      <c r="E2" s="358" t="s">
        <v>32</v>
      </c>
      <c r="F2" s="358" t="str">
        <f>'Stavební rozpočet'!J2</f>
        <v>Obec Velký Borek</v>
      </c>
      <c r="G2" s="352"/>
      <c r="H2" s="358" t="s">
        <v>52</v>
      </c>
      <c r="I2" s="359" t="s">
        <v>56</v>
      </c>
      <c r="J2" s="2"/>
    </row>
    <row r="3" spans="1:10" ht="12.75">
      <c r="A3" s="353"/>
      <c r="B3" s="354"/>
      <c r="C3" s="357"/>
      <c r="D3" s="357"/>
      <c r="E3" s="354"/>
      <c r="F3" s="354"/>
      <c r="G3" s="354"/>
      <c r="H3" s="354"/>
      <c r="I3" s="360"/>
      <c r="J3" s="2"/>
    </row>
    <row r="4" spans="1:10" ht="12.75">
      <c r="A4" s="361" t="s">
        <v>1</v>
      </c>
      <c r="B4" s="354"/>
      <c r="C4" s="362" t="str">
        <f>'Stavební rozpočet'!D4</f>
        <v>TZB - Technika prostředí - VZT řízené větrání s rekuperací, chlazení</v>
      </c>
      <c r="D4" s="354"/>
      <c r="E4" s="362" t="s">
        <v>33</v>
      </c>
      <c r="F4" s="362" t="str">
        <f>'Stavební rozpočet'!J4</f>
        <v>Ing. Jiří Šír - VISTA</v>
      </c>
      <c r="G4" s="354"/>
      <c r="H4" s="362" t="s">
        <v>52</v>
      </c>
      <c r="I4" s="363" t="s">
        <v>57</v>
      </c>
      <c r="J4" s="2"/>
    </row>
    <row r="5" spans="1:10" ht="12.75">
      <c r="A5" s="353"/>
      <c r="B5" s="354"/>
      <c r="C5" s="354"/>
      <c r="D5" s="354"/>
      <c r="E5" s="354"/>
      <c r="F5" s="354"/>
      <c r="G5" s="354"/>
      <c r="H5" s="354"/>
      <c r="I5" s="360"/>
      <c r="J5" s="2"/>
    </row>
    <row r="6" spans="1:10" ht="12.75">
      <c r="A6" s="361" t="s">
        <v>2</v>
      </c>
      <c r="B6" s="354"/>
      <c r="C6" s="362" t="str">
        <f>'Stavební rozpočet'!D6</f>
        <v>Školní  č.p. 226, Velký Borek</v>
      </c>
      <c r="D6" s="354"/>
      <c r="E6" s="362" t="s">
        <v>34</v>
      </c>
      <c r="F6" s="362" t="str">
        <f>'Stavební rozpočet'!J6</f>
        <v>Vzejde z výběrového řízení</v>
      </c>
      <c r="G6" s="354"/>
      <c r="H6" s="362" t="s">
        <v>52</v>
      </c>
      <c r="I6" s="363"/>
      <c r="J6" s="2"/>
    </row>
    <row r="7" spans="1:10" ht="12.75">
      <c r="A7" s="353"/>
      <c r="B7" s="354"/>
      <c r="C7" s="354"/>
      <c r="D7" s="354"/>
      <c r="E7" s="354"/>
      <c r="F7" s="354"/>
      <c r="G7" s="354"/>
      <c r="H7" s="354"/>
      <c r="I7" s="360"/>
      <c r="J7" s="2"/>
    </row>
    <row r="8" spans="1:10" ht="12.75">
      <c r="A8" s="361" t="s">
        <v>3</v>
      </c>
      <c r="B8" s="354"/>
      <c r="C8" s="362" t="str">
        <f>'Stavební rozpočet'!G4</f>
        <v> </v>
      </c>
      <c r="D8" s="354"/>
      <c r="E8" s="362" t="s">
        <v>35</v>
      </c>
      <c r="F8" s="388" t="s">
        <v>77</v>
      </c>
      <c r="G8" s="354"/>
      <c r="H8" s="364" t="s">
        <v>53</v>
      </c>
      <c r="I8" s="363" t="s">
        <v>127</v>
      </c>
      <c r="J8" s="2"/>
    </row>
    <row r="9" spans="1:10" ht="12.75">
      <c r="A9" s="353"/>
      <c r="B9" s="354"/>
      <c r="C9" s="354"/>
      <c r="D9" s="354"/>
      <c r="E9" s="354"/>
      <c r="F9" s="354"/>
      <c r="G9" s="354"/>
      <c r="H9" s="354"/>
      <c r="I9" s="360"/>
      <c r="J9" s="2"/>
    </row>
    <row r="10" spans="1:10" ht="12.75">
      <c r="A10" s="361" t="s">
        <v>4</v>
      </c>
      <c r="B10" s="354"/>
      <c r="C10" s="362">
        <f>'Stavební rozpočet'!D8</f>
        <v>8013189</v>
      </c>
      <c r="D10" s="354"/>
      <c r="E10" s="362" t="s">
        <v>36</v>
      </c>
      <c r="F10" s="362" t="str">
        <f>'Stavební rozpočet'!J8</f>
        <v>Ing. Jiří Šír</v>
      </c>
      <c r="G10" s="354"/>
      <c r="H10" s="364" t="s">
        <v>54</v>
      </c>
      <c r="I10" s="367">
        <f>'Krycí list rozpočtu'!I10:I11</f>
        <v>43221</v>
      </c>
      <c r="J10" s="2"/>
    </row>
    <row r="11" spans="1:10" ht="12.75">
      <c r="A11" s="365"/>
      <c r="B11" s="366"/>
      <c r="C11" s="366"/>
      <c r="D11" s="366"/>
      <c r="E11" s="366"/>
      <c r="F11" s="366"/>
      <c r="G11" s="366"/>
      <c r="H11" s="366"/>
      <c r="I11" s="389"/>
      <c r="J11" s="2"/>
    </row>
    <row r="12" spans="1:9" ht="23.25" customHeight="1">
      <c r="A12" s="369" t="s">
        <v>5</v>
      </c>
      <c r="B12" s="370"/>
      <c r="C12" s="370"/>
      <c r="D12" s="370"/>
      <c r="E12" s="370"/>
      <c r="F12" s="370"/>
      <c r="G12" s="370"/>
      <c r="H12" s="370"/>
      <c r="I12" s="370"/>
    </row>
    <row r="13" spans="1:10" ht="26.25" customHeight="1">
      <c r="A13" s="4" t="s">
        <v>6</v>
      </c>
      <c r="B13" s="371" t="s">
        <v>19</v>
      </c>
      <c r="C13" s="372"/>
      <c r="D13" s="4" t="s">
        <v>23</v>
      </c>
      <c r="E13" s="371" t="s">
        <v>37</v>
      </c>
      <c r="F13" s="372"/>
      <c r="G13" s="4" t="s">
        <v>38</v>
      </c>
      <c r="H13" s="371" t="s">
        <v>55</v>
      </c>
      <c r="I13" s="372"/>
      <c r="J13" s="2"/>
    </row>
    <row r="14" spans="1:10" ht="15" customHeight="1">
      <c r="A14" s="5" t="s">
        <v>7</v>
      </c>
      <c r="B14" s="10" t="s">
        <v>20</v>
      </c>
      <c r="C14" s="13">
        <f>SUM('Stavební rozpočet (SO 02)'!R12:R148)</f>
        <v>0</v>
      </c>
      <c r="D14" s="373" t="s">
        <v>24</v>
      </c>
      <c r="E14" s="374"/>
      <c r="F14" s="13">
        <v>0</v>
      </c>
      <c r="G14" s="373" t="s">
        <v>39</v>
      </c>
      <c r="H14" s="374"/>
      <c r="I14" s="13">
        <v>0</v>
      </c>
      <c r="J14" s="2"/>
    </row>
    <row r="15" spans="1:10" ht="15" customHeight="1">
      <c r="A15" s="6"/>
      <c r="B15" s="10" t="s">
        <v>21</v>
      </c>
      <c r="C15" s="13">
        <f>SUM('Stavební rozpočet (SO 02)'!S12:S148)</f>
        <v>0</v>
      </c>
      <c r="D15" s="373" t="s">
        <v>25</v>
      </c>
      <c r="E15" s="374"/>
      <c r="F15" s="13">
        <v>0</v>
      </c>
      <c r="G15" s="373" t="s">
        <v>40</v>
      </c>
      <c r="H15" s="374"/>
      <c r="I15" s="13">
        <v>0</v>
      </c>
      <c r="J15" s="2"/>
    </row>
    <row r="16" spans="1:10" ht="15" customHeight="1">
      <c r="A16" s="5" t="s">
        <v>8</v>
      </c>
      <c r="B16" s="10" t="s">
        <v>20</v>
      </c>
      <c r="C16" s="13">
        <f>SUM('Stavební rozpočet (SO 02)'!T12:T148)</f>
        <v>0</v>
      </c>
      <c r="D16" s="373" t="s">
        <v>26</v>
      </c>
      <c r="E16" s="374"/>
      <c r="F16" s="13">
        <v>0</v>
      </c>
      <c r="G16" s="373" t="s">
        <v>41</v>
      </c>
      <c r="H16" s="374"/>
      <c r="I16" s="13">
        <v>0</v>
      </c>
      <c r="J16" s="2"/>
    </row>
    <row r="17" spans="1:10" ht="15" customHeight="1">
      <c r="A17" s="6"/>
      <c r="B17" s="10" t="s">
        <v>21</v>
      </c>
      <c r="C17" s="13">
        <f>SUM('Stavební rozpočet (SO 02)'!U12:U148)</f>
        <v>0</v>
      </c>
      <c r="D17" s="373"/>
      <c r="E17" s="374"/>
      <c r="F17" s="14"/>
      <c r="G17" s="373" t="s">
        <v>42</v>
      </c>
      <c r="H17" s="374"/>
      <c r="I17" s="13">
        <v>0</v>
      </c>
      <c r="J17" s="2"/>
    </row>
    <row r="18" spans="1:10" ht="15" customHeight="1">
      <c r="A18" s="5" t="s">
        <v>9</v>
      </c>
      <c r="B18" s="10" t="s">
        <v>20</v>
      </c>
      <c r="C18" s="13">
        <f>SUM('Stavební rozpočet (SO 02)'!V12:V148)</f>
        <v>0</v>
      </c>
      <c r="D18" s="373"/>
      <c r="E18" s="374"/>
      <c r="F18" s="14"/>
      <c r="G18" s="373" t="s">
        <v>43</v>
      </c>
      <c r="H18" s="374"/>
      <c r="I18" s="13">
        <v>0</v>
      </c>
      <c r="J18" s="2"/>
    </row>
    <row r="19" spans="1:10" ht="15" customHeight="1">
      <c r="A19" s="6"/>
      <c r="B19" s="10" t="s">
        <v>21</v>
      </c>
      <c r="C19" s="13">
        <f>SUM('Stavební rozpočet (SO 02)'!W12:W148)</f>
        <v>0</v>
      </c>
      <c r="D19" s="373"/>
      <c r="E19" s="374"/>
      <c r="F19" s="14"/>
      <c r="G19" s="373" t="s">
        <v>44</v>
      </c>
      <c r="H19" s="374"/>
      <c r="I19" s="13">
        <v>0</v>
      </c>
      <c r="J19" s="2"/>
    </row>
    <row r="20" spans="1:10" ht="15" customHeight="1">
      <c r="A20" s="375" t="s">
        <v>10</v>
      </c>
      <c r="B20" s="376"/>
      <c r="C20" s="13">
        <f>SUM('Stavební rozpočet (SO 02)'!X12:X148)</f>
        <v>0</v>
      </c>
      <c r="D20" s="373"/>
      <c r="E20" s="374"/>
      <c r="F20" s="14"/>
      <c r="G20" s="373"/>
      <c r="H20" s="374"/>
      <c r="I20" s="14"/>
      <c r="J20" s="2"/>
    </row>
    <row r="21" spans="1:10" ht="15" customHeight="1">
      <c r="A21" s="375" t="s">
        <v>11</v>
      </c>
      <c r="B21" s="376"/>
      <c r="C21" s="13">
        <f>SUM('Stavební rozpočet (SO 02)'!P12:P148)</f>
        <v>0</v>
      </c>
      <c r="D21" s="373"/>
      <c r="E21" s="374"/>
      <c r="F21" s="14"/>
      <c r="G21" s="373"/>
      <c r="H21" s="374"/>
      <c r="I21" s="14"/>
      <c r="J21" s="2"/>
    </row>
    <row r="22" spans="1:10" ht="16.5" customHeight="1">
      <c r="A22" s="375" t="s">
        <v>12</v>
      </c>
      <c r="B22" s="376"/>
      <c r="C22" s="13">
        <f>SUM(C14:C21)</f>
        <v>0</v>
      </c>
      <c r="D22" s="375" t="s">
        <v>27</v>
      </c>
      <c r="E22" s="376"/>
      <c r="F22" s="13">
        <f>SUM(F14:F21)</f>
        <v>0</v>
      </c>
      <c r="G22" s="375" t="s">
        <v>45</v>
      </c>
      <c r="H22" s="376"/>
      <c r="I22" s="13">
        <f>SUM(I14:I21)</f>
        <v>0</v>
      </c>
      <c r="J22" s="2"/>
    </row>
    <row r="23" spans="1:10" ht="15" customHeight="1">
      <c r="A23" s="7"/>
      <c r="B23" s="7"/>
      <c r="C23" s="7"/>
      <c r="D23" s="7"/>
      <c r="E23" s="7"/>
      <c r="F23" s="12"/>
      <c r="G23" s="375" t="s">
        <v>47</v>
      </c>
      <c r="H23" s="376"/>
      <c r="I23" s="13">
        <v>0</v>
      </c>
      <c r="J23" s="2"/>
    </row>
    <row r="24" spans="1:9" ht="12.75">
      <c r="A24" s="1"/>
      <c r="B24" s="1"/>
      <c r="C24" s="1"/>
      <c r="G24" s="7"/>
      <c r="H24" s="7"/>
      <c r="I24" s="7"/>
    </row>
    <row r="25" spans="1:9" ht="15" customHeight="1">
      <c r="A25" s="377" t="s">
        <v>13</v>
      </c>
      <c r="B25" s="378"/>
      <c r="C25" s="18">
        <f>SUM('Stavební rozpočet (SO 02)'!Z12:Z148)</f>
        <v>0</v>
      </c>
      <c r="D25" s="3"/>
      <c r="E25" s="1"/>
      <c r="F25" s="1"/>
      <c r="G25" s="1"/>
      <c r="H25" s="1"/>
      <c r="I25" s="1"/>
    </row>
    <row r="26" spans="1:10" ht="15" customHeight="1">
      <c r="A26" s="377" t="s">
        <v>14</v>
      </c>
      <c r="B26" s="378"/>
      <c r="C26" s="18">
        <f>SUM('Stavební rozpočet (SO 02)'!AA12:AA148)</f>
        <v>0</v>
      </c>
      <c r="D26" s="377" t="s">
        <v>29</v>
      </c>
      <c r="E26" s="378"/>
      <c r="F26" s="18">
        <f>ROUND(C26*(15/100),2)</f>
        <v>0</v>
      </c>
      <c r="G26" s="377" t="s">
        <v>49</v>
      </c>
      <c r="H26" s="378"/>
      <c r="I26" s="18">
        <f>SUM(C25:C27)</f>
        <v>0</v>
      </c>
      <c r="J26" s="2"/>
    </row>
    <row r="27" spans="1:10" ht="15" customHeight="1">
      <c r="A27" s="377" t="s">
        <v>15</v>
      </c>
      <c r="B27" s="378"/>
      <c r="C27" s="18">
        <f>SUM('Stavební rozpočet (SO 02)'!AB12:AB148)+(F22+I22+F23+I23+I24)</f>
        <v>0</v>
      </c>
      <c r="D27" s="377" t="s">
        <v>30</v>
      </c>
      <c r="E27" s="378"/>
      <c r="F27" s="18">
        <f>ROUND(C27*(21/100),2)</f>
        <v>0</v>
      </c>
      <c r="G27" s="377" t="s">
        <v>50</v>
      </c>
      <c r="H27" s="378"/>
      <c r="I27" s="18">
        <f>SUM(F26:F27)+I26</f>
        <v>0</v>
      </c>
      <c r="J27" s="2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10" ht="14.25" customHeight="1">
      <c r="A29" s="379" t="s">
        <v>16</v>
      </c>
      <c r="B29" s="380"/>
      <c r="C29" s="381"/>
      <c r="D29" s="379" t="s">
        <v>31</v>
      </c>
      <c r="E29" s="380"/>
      <c r="F29" s="381"/>
      <c r="G29" s="379" t="s">
        <v>51</v>
      </c>
      <c r="H29" s="380"/>
      <c r="I29" s="381"/>
      <c r="J29" s="17"/>
    </row>
    <row r="30" spans="1:10" ht="14.25" customHeight="1">
      <c r="A30" s="382"/>
      <c r="B30" s="383"/>
      <c r="C30" s="384"/>
      <c r="D30" s="382"/>
      <c r="E30" s="383"/>
      <c r="F30" s="384"/>
      <c r="G30" s="382"/>
      <c r="H30" s="383"/>
      <c r="I30" s="384"/>
      <c r="J30" s="17"/>
    </row>
    <row r="31" spans="1:10" ht="14.25" customHeight="1">
      <c r="A31" s="382"/>
      <c r="B31" s="383"/>
      <c r="C31" s="384"/>
      <c r="D31" s="382"/>
      <c r="E31" s="383"/>
      <c r="F31" s="384"/>
      <c r="G31" s="382"/>
      <c r="H31" s="383"/>
      <c r="I31" s="384"/>
      <c r="J31" s="17"/>
    </row>
    <row r="32" spans="1:10" ht="14.25" customHeight="1">
      <c r="A32" s="382"/>
      <c r="B32" s="383"/>
      <c r="C32" s="384"/>
      <c r="D32" s="382"/>
      <c r="E32" s="383"/>
      <c r="F32" s="384"/>
      <c r="G32" s="382"/>
      <c r="H32" s="383"/>
      <c r="I32" s="384"/>
      <c r="J32" s="17"/>
    </row>
    <row r="33" spans="1:10" ht="14.25" customHeight="1">
      <c r="A33" s="385" t="s">
        <v>17</v>
      </c>
      <c r="B33" s="386"/>
      <c r="C33" s="387"/>
      <c r="D33" s="385" t="s">
        <v>17</v>
      </c>
      <c r="E33" s="386"/>
      <c r="F33" s="387"/>
      <c r="G33" s="385" t="s">
        <v>17</v>
      </c>
      <c r="H33" s="386"/>
      <c r="I33" s="387"/>
      <c r="J33" s="17"/>
    </row>
    <row r="34" spans="1:9" ht="11.25" customHeight="1">
      <c r="A34" s="9" t="s">
        <v>18</v>
      </c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362"/>
      <c r="B35" s="354"/>
      <c r="C35" s="354"/>
      <c r="D35" s="354"/>
      <c r="E35" s="354"/>
      <c r="F35" s="354"/>
      <c r="G35" s="354"/>
      <c r="H35" s="354"/>
      <c r="I35" s="354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8"/>
  <sheetViews>
    <sheetView zoomScalePageLayoutView="0" workbookViewId="0" topLeftCell="A1">
      <pane ySplit="11" topLeftCell="A19" activePane="bottomLeft" state="frozen"/>
      <selection pane="topLeft" activeCell="H39" sqref="H39"/>
      <selection pane="bottomLeft" activeCell="H39" sqref="H3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3.8515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410" t="s">
        <v>158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4" ht="12.75">
      <c r="A2" s="351" t="s">
        <v>0</v>
      </c>
      <c r="B2" s="352"/>
      <c r="C2" s="352"/>
      <c r="D2" s="355" t="str">
        <f>'Stavební rozpočet'!D2</f>
        <v>MŠ Velký Borek, energeticky úsporné větrání</v>
      </c>
      <c r="E2" s="430" t="s">
        <v>88</v>
      </c>
      <c r="F2" s="352"/>
      <c r="G2" s="412" t="s">
        <v>77</v>
      </c>
      <c r="H2" s="352"/>
      <c r="I2" s="358" t="s">
        <v>32</v>
      </c>
      <c r="J2" s="358" t="str">
        <f>'Stavební rozpočet'!J2</f>
        <v>Obec Velký Borek</v>
      </c>
      <c r="K2" s="352"/>
      <c r="L2" s="352"/>
      <c r="M2" s="413"/>
      <c r="N2" s="2"/>
    </row>
    <row r="3" spans="1:14" ht="12.75">
      <c r="A3" s="353"/>
      <c r="B3" s="354"/>
      <c r="C3" s="354"/>
      <c r="D3" s="357"/>
      <c r="E3" s="354"/>
      <c r="F3" s="354"/>
      <c r="G3" s="354"/>
      <c r="H3" s="354"/>
      <c r="I3" s="354"/>
      <c r="J3" s="354"/>
      <c r="K3" s="354"/>
      <c r="L3" s="354"/>
      <c r="M3" s="360"/>
      <c r="N3" s="2"/>
    </row>
    <row r="4" spans="1:14" ht="12.75">
      <c r="A4" s="361" t="s">
        <v>1</v>
      </c>
      <c r="B4" s="354"/>
      <c r="C4" s="354"/>
      <c r="D4" s="362" t="str">
        <f>'Stavební rozpočet'!D4</f>
        <v>TZB - Technika prostředí - VZT řízené větrání s rekuperací, chlazení</v>
      </c>
      <c r="E4" s="364" t="s">
        <v>3</v>
      </c>
      <c r="F4" s="354"/>
      <c r="G4" s="362" t="str">
        <f>'Stavební rozpočet'!G4</f>
        <v> </v>
      </c>
      <c r="H4" s="354"/>
      <c r="I4" s="362" t="s">
        <v>33</v>
      </c>
      <c r="J4" s="362" t="str">
        <f>'Stavební rozpočet'!J4</f>
        <v>Ing. Jiří Šír - VISTA</v>
      </c>
      <c r="K4" s="354"/>
      <c r="L4" s="354"/>
      <c r="M4" s="360"/>
      <c r="N4" s="2"/>
    </row>
    <row r="5" spans="1:14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60"/>
      <c r="N5" s="2"/>
    </row>
    <row r="6" spans="1:14" ht="12.75">
      <c r="A6" s="361" t="s">
        <v>2</v>
      </c>
      <c r="B6" s="354"/>
      <c r="C6" s="354"/>
      <c r="D6" s="362" t="str">
        <f>'Stavební rozpočet'!D6</f>
        <v>Školní  č.p. 226, Velký Borek</v>
      </c>
      <c r="E6" s="364" t="s">
        <v>35</v>
      </c>
      <c r="F6" s="354"/>
      <c r="G6" s="388" t="s">
        <v>77</v>
      </c>
      <c r="H6" s="354"/>
      <c r="I6" s="362" t="s">
        <v>34</v>
      </c>
      <c r="J6" s="362" t="str">
        <f>'Stavební rozpočet'!J6</f>
        <v>Vzejde z výběrového řízení</v>
      </c>
      <c r="K6" s="354"/>
      <c r="L6" s="354"/>
      <c r="M6" s="360"/>
      <c r="N6" s="2"/>
    </row>
    <row r="7" spans="1:1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60"/>
      <c r="N7" s="2"/>
    </row>
    <row r="8" spans="1:14" ht="12.75">
      <c r="A8" s="361" t="s">
        <v>4</v>
      </c>
      <c r="B8" s="354"/>
      <c r="C8" s="354"/>
      <c r="D8" s="362">
        <f>'Stavební rozpočet'!D8</f>
        <v>8013189</v>
      </c>
      <c r="E8" s="364" t="s">
        <v>89</v>
      </c>
      <c r="F8" s="354"/>
      <c r="G8" s="388" t="s">
        <v>77</v>
      </c>
      <c r="H8" s="354"/>
      <c r="I8" s="362" t="s">
        <v>36</v>
      </c>
      <c r="J8" s="362" t="str">
        <f>'Stavební rozpočet'!J8</f>
        <v>Ing. Jiří Šír</v>
      </c>
      <c r="K8" s="354"/>
      <c r="L8" s="354"/>
      <c r="M8" s="360"/>
      <c r="N8" s="2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7"/>
      <c r="N9" s="2"/>
    </row>
    <row r="10" spans="1:14" ht="12.75">
      <c r="A10" s="42" t="s">
        <v>102</v>
      </c>
      <c r="B10" s="47" t="s">
        <v>78</v>
      </c>
      <c r="C10" s="47" t="s">
        <v>98</v>
      </c>
      <c r="D10" s="47" t="s">
        <v>83</v>
      </c>
      <c r="E10" s="47" t="s">
        <v>106</v>
      </c>
      <c r="F10" s="52" t="s">
        <v>108</v>
      </c>
      <c r="G10" s="54" t="s">
        <v>109</v>
      </c>
      <c r="H10" s="423" t="s">
        <v>90</v>
      </c>
      <c r="I10" s="424"/>
      <c r="J10" s="425"/>
      <c r="K10" s="423" t="s">
        <v>94</v>
      </c>
      <c r="L10" s="425"/>
      <c r="M10" s="58" t="s">
        <v>111</v>
      </c>
      <c r="N10" s="17"/>
    </row>
    <row r="11" spans="1:24" ht="12.75">
      <c r="A11" s="43" t="s">
        <v>77</v>
      </c>
      <c r="B11" s="48" t="s">
        <v>77</v>
      </c>
      <c r="C11" s="48" t="s">
        <v>77</v>
      </c>
      <c r="D11" s="30" t="s">
        <v>104</v>
      </c>
      <c r="E11" s="48" t="s">
        <v>77</v>
      </c>
      <c r="F11" s="48" t="s">
        <v>77</v>
      </c>
      <c r="G11" s="55" t="s">
        <v>110</v>
      </c>
      <c r="H11" s="34" t="s">
        <v>91</v>
      </c>
      <c r="I11" s="35" t="s">
        <v>21</v>
      </c>
      <c r="J11" s="37" t="s">
        <v>93</v>
      </c>
      <c r="K11" s="34" t="s">
        <v>109</v>
      </c>
      <c r="L11" s="37" t="s">
        <v>93</v>
      </c>
      <c r="M11" s="59" t="s">
        <v>112</v>
      </c>
      <c r="N11" s="17"/>
      <c r="P11" s="57" t="s">
        <v>113</v>
      </c>
      <c r="Q11" s="57" t="s">
        <v>114</v>
      </c>
      <c r="R11" s="57" t="s">
        <v>115</v>
      </c>
      <c r="S11" s="57" t="s">
        <v>116</v>
      </c>
      <c r="T11" s="57" t="s">
        <v>117</v>
      </c>
      <c r="U11" s="57" t="s">
        <v>118</v>
      </c>
      <c r="V11" s="57" t="s">
        <v>119</v>
      </c>
      <c r="W11" s="57" t="s">
        <v>120</v>
      </c>
      <c r="X11" s="57" t="s">
        <v>121</v>
      </c>
    </row>
    <row r="12" spans="1:13" ht="12.75">
      <c r="A12" s="44"/>
      <c r="B12" s="49" t="s">
        <v>80</v>
      </c>
      <c r="C12" s="49"/>
      <c r="D12" s="49" t="s">
        <v>85</v>
      </c>
      <c r="E12" s="44" t="s">
        <v>77</v>
      </c>
      <c r="F12" s="44" t="s">
        <v>77</v>
      </c>
      <c r="G12" s="44" t="s">
        <v>77</v>
      </c>
      <c r="H12" s="63">
        <f>H13+H18+H25+H36+H39+H59+H62+H65+H70+H73+H82+H98+H103+H108+H111</f>
        <v>0</v>
      </c>
      <c r="I12" s="63">
        <f>I13+I18+I25+I36+I39+I59+I62+I65+I70+I73+I82+I98+I103+I108+I111</f>
        <v>0</v>
      </c>
      <c r="J12" s="63">
        <f>H12+I12</f>
        <v>0</v>
      </c>
      <c r="K12" s="56"/>
      <c r="L12" s="63">
        <f>L13+L18+L25+L36+L39+L59+L62+L65+L70+L73+L82+L98+L103+L108+L111</f>
        <v>33.205674200000004</v>
      </c>
      <c r="M12" s="56"/>
    </row>
    <row r="13" spans="1:37" ht="12.75">
      <c r="A13" s="45"/>
      <c r="B13" s="50" t="s">
        <v>80</v>
      </c>
      <c r="C13" s="50" t="s">
        <v>128</v>
      </c>
      <c r="D13" s="50" t="s">
        <v>143</v>
      </c>
      <c r="E13" s="45" t="s">
        <v>77</v>
      </c>
      <c r="F13" s="45" t="s">
        <v>77</v>
      </c>
      <c r="G13" s="45" t="s">
        <v>77</v>
      </c>
      <c r="H13" s="64">
        <f>SUM(H14:H14)</f>
        <v>0</v>
      </c>
      <c r="I13" s="64">
        <f>SUM(I14:I14)</f>
        <v>0</v>
      </c>
      <c r="J13" s="64">
        <f>H13+I13</f>
        <v>0</v>
      </c>
      <c r="K13" s="57"/>
      <c r="L13" s="64">
        <f>SUM(L14:L14)</f>
        <v>0</v>
      </c>
      <c r="M13" s="57"/>
      <c r="Y13" s="57" t="s">
        <v>80</v>
      </c>
      <c r="AI13" s="64">
        <f>SUM(Z14:Z14)</f>
        <v>0</v>
      </c>
      <c r="AJ13" s="64">
        <f>SUM(AA14:AA14)</f>
        <v>0</v>
      </c>
      <c r="AK13" s="64">
        <f>SUM(AB14:AB14)</f>
        <v>0</v>
      </c>
    </row>
    <row r="14" spans="1:48" ht="12.75">
      <c r="A14" s="46" t="s">
        <v>97</v>
      </c>
      <c r="B14" s="46" t="s">
        <v>80</v>
      </c>
      <c r="C14" s="46" t="s">
        <v>189</v>
      </c>
      <c r="D14" s="46" t="s">
        <v>226</v>
      </c>
      <c r="E14" s="46" t="s">
        <v>302</v>
      </c>
      <c r="F14" s="62">
        <f>'Stavební rozpočet'!F18</f>
        <v>6.96</v>
      </c>
      <c r="G14" s="62">
        <v>0</v>
      </c>
      <c r="H14" s="62">
        <f>F14*AE14</f>
        <v>0</v>
      </c>
      <c r="I14" s="62">
        <f>J14-H14</f>
        <v>0</v>
      </c>
      <c r="J14" s="62">
        <f>F14*G14</f>
        <v>0</v>
      </c>
      <c r="K14" s="62">
        <f>'Stavební rozpočet'!K18</f>
        <v>0</v>
      </c>
      <c r="L14" s="62">
        <f>F14*K14</f>
        <v>0</v>
      </c>
      <c r="M14" s="60" t="s">
        <v>308</v>
      </c>
      <c r="P14" s="38">
        <f>IF(AG14="5",J14,0)</f>
        <v>0</v>
      </c>
      <c r="R14" s="38">
        <f>IF(AG14="1",H14,0)</f>
        <v>0</v>
      </c>
      <c r="S14" s="38">
        <f>IF(AG14="1",I14,0)</f>
        <v>0</v>
      </c>
      <c r="T14" s="38">
        <f>IF(AG14="7",H14,0)</f>
        <v>0</v>
      </c>
      <c r="U14" s="38">
        <f>IF(AG14="7",I14,0)</f>
        <v>0</v>
      </c>
      <c r="V14" s="38">
        <f>IF(AG14="2",H14,0)</f>
        <v>0</v>
      </c>
      <c r="W14" s="38">
        <f>IF(AG14="2",I14,0)</f>
        <v>0</v>
      </c>
      <c r="X14" s="38">
        <f>IF(AG14="0",J14,0)</f>
        <v>0</v>
      </c>
      <c r="Y14" s="57" t="s">
        <v>80</v>
      </c>
      <c r="Z14" s="62">
        <f>IF(AD14=0,J14,0)</f>
        <v>0</v>
      </c>
      <c r="AA14" s="62">
        <f>IF(AD14=15,J14,0)</f>
        <v>0</v>
      </c>
      <c r="AB14" s="62">
        <f>IF(AD14=21,J14,0)</f>
        <v>0</v>
      </c>
      <c r="AD14" s="38">
        <v>21</v>
      </c>
      <c r="AE14" s="38">
        <f>G14*0</f>
        <v>0</v>
      </c>
      <c r="AF14" s="38">
        <f>G14*(1-0)</f>
        <v>0</v>
      </c>
      <c r="AG14" s="60" t="s">
        <v>97</v>
      </c>
      <c r="AM14" s="38">
        <f>F14*AE14</f>
        <v>0</v>
      </c>
      <c r="AN14" s="38">
        <f>F14*AF14</f>
        <v>0</v>
      </c>
      <c r="AO14" s="61" t="s">
        <v>309</v>
      </c>
      <c r="AP14" s="61" t="s">
        <v>324</v>
      </c>
      <c r="AQ14" s="57" t="s">
        <v>332</v>
      </c>
      <c r="AS14" s="38">
        <f>AM14+AN14</f>
        <v>0</v>
      </c>
      <c r="AT14" s="38">
        <f>G14/(100-AU14)*100</f>
        <v>0</v>
      </c>
      <c r="AU14" s="38">
        <v>0</v>
      </c>
      <c r="AV14" s="38">
        <f>L14</f>
        <v>0</v>
      </c>
    </row>
    <row r="15" spans="4:6" ht="12.75">
      <c r="D15" s="66" t="s">
        <v>227</v>
      </c>
      <c r="F15" s="67">
        <v>4.4</v>
      </c>
    </row>
    <row r="16" spans="4:6" ht="12.75">
      <c r="D16" s="66" t="s">
        <v>228</v>
      </c>
      <c r="F16" s="67">
        <v>0.8</v>
      </c>
    </row>
    <row r="17" spans="4:6" ht="12.75">
      <c r="D17" s="66" t="s">
        <v>229</v>
      </c>
      <c r="F17" s="67">
        <v>1.76</v>
      </c>
    </row>
    <row r="18" spans="1:37" ht="12.75">
      <c r="A18" s="45"/>
      <c r="B18" s="50" t="s">
        <v>80</v>
      </c>
      <c r="C18" s="50" t="s">
        <v>129</v>
      </c>
      <c r="D18" s="50" t="s">
        <v>144</v>
      </c>
      <c r="E18" s="45" t="s">
        <v>77</v>
      </c>
      <c r="F18" s="45" t="s">
        <v>77</v>
      </c>
      <c r="G18" s="45" t="s">
        <v>77</v>
      </c>
      <c r="H18" s="64">
        <f>SUM(H19:H23)</f>
        <v>0</v>
      </c>
      <c r="I18" s="64">
        <f>SUM(I19:I23)</f>
        <v>0</v>
      </c>
      <c r="J18" s="64">
        <f>H18+I18</f>
        <v>0</v>
      </c>
      <c r="K18" s="57"/>
      <c r="L18" s="64">
        <f>SUM(L19:L23)</f>
        <v>0</v>
      </c>
      <c r="M18" s="57"/>
      <c r="Y18" s="57" t="s">
        <v>80</v>
      </c>
      <c r="AI18" s="64">
        <f>SUM(Z19:Z23)</f>
        <v>0</v>
      </c>
      <c r="AJ18" s="64">
        <f>SUM(AA19:AA23)</f>
        <v>0</v>
      </c>
      <c r="AK18" s="64">
        <f>SUM(AB19:AB23)</f>
        <v>0</v>
      </c>
    </row>
    <row r="19" spans="1:48" ht="12.75">
      <c r="A19" s="46" t="s">
        <v>159</v>
      </c>
      <c r="B19" s="46" t="s">
        <v>80</v>
      </c>
      <c r="C19" s="46" t="s">
        <v>190</v>
      </c>
      <c r="D19" s="46" t="s">
        <v>230</v>
      </c>
      <c r="E19" s="46" t="s">
        <v>302</v>
      </c>
      <c r="F19" s="62">
        <f>'Stavební rozpočet'!F23</f>
        <v>7</v>
      </c>
      <c r="G19" s="62">
        <v>0</v>
      </c>
      <c r="H19" s="62">
        <f>F19*AE19</f>
        <v>0</v>
      </c>
      <c r="I19" s="62">
        <f>J19-H19</f>
        <v>0</v>
      </c>
      <c r="J19" s="62">
        <f>F19*G19</f>
        <v>0</v>
      </c>
      <c r="K19" s="62">
        <f>'Stavební rozpočet'!K23</f>
        <v>0</v>
      </c>
      <c r="L19" s="62">
        <f>F19*K19</f>
        <v>0</v>
      </c>
      <c r="M19" s="60" t="s">
        <v>308</v>
      </c>
      <c r="P19" s="38">
        <f>IF(AG19="5",J19,0)</f>
        <v>0</v>
      </c>
      <c r="R19" s="38">
        <f>IF(AG19="1",H19,0)</f>
        <v>0</v>
      </c>
      <c r="S19" s="38">
        <f>IF(AG19="1",I19,0)</f>
        <v>0</v>
      </c>
      <c r="T19" s="38">
        <f>IF(AG19="7",H19,0)</f>
        <v>0</v>
      </c>
      <c r="U19" s="38">
        <f>IF(AG19="7",I19,0)</f>
        <v>0</v>
      </c>
      <c r="V19" s="38">
        <f>IF(AG19="2",H19,0)</f>
        <v>0</v>
      </c>
      <c r="W19" s="38">
        <f>IF(AG19="2",I19,0)</f>
        <v>0</v>
      </c>
      <c r="X19" s="38">
        <f>IF(AG19="0",J19,0)</f>
        <v>0</v>
      </c>
      <c r="Y19" s="57" t="s">
        <v>80</v>
      </c>
      <c r="Z19" s="62">
        <f>IF(AD19=0,J19,0)</f>
        <v>0</v>
      </c>
      <c r="AA19" s="62">
        <f>IF(AD19=15,J19,0)</f>
        <v>0</v>
      </c>
      <c r="AB19" s="62">
        <f>IF(AD19=21,J19,0)</f>
        <v>0</v>
      </c>
      <c r="AD19" s="38">
        <v>21</v>
      </c>
      <c r="AE19" s="38">
        <f>G19*0</f>
        <v>0</v>
      </c>
      <c r="AF19" s="38">
        <f>G19*(1-0)</f>
        <v>0</v>
      </c>
      <c r="AG19" s="60" t="s">
        <v>97</v>
      </c>
      <c r="AM19" s="38">
        <f>F19*AE19</f>
        <v>0</v>
      </c>
      <c r="AN19" s="38">
        <f>F19*AF19</f>
        <v>0</v>
      </c>
      <c r="AO19" s="61" t="s">
        <v>310</v>
      </c>
      <c r="AP19" s="61" t="s">
        <v>324</v>
      </c>
      <c r="AQ19" s="57" t="s">
        <v>332</v>
      </c>
      <c r="AS19" s="38">
        <f>AM19+AN19</f>
        <v>0</v>
      </c>
      <c r="AT19" s="38">
        <f>G19/(100-AU19)*100</f>
        <v>0</v>
      </c>
      <c r="AU19" s="38">
        <v>0</v>
      </c>
      <c r="AV19" s="38">
        <f>L19</f>
        <v>0</v>
      </c>
    </row>
    <row r="20" spans="4:6" ht="12.75">
      <c r="D20" s="66" t="s">
        <v>122</v>
      </c>
      <c r="F20" s="67">
        <v>7</v>
      </c>
    </row>
    <row r="21" spans="1:48" ht="12.75">
      <c r="A21" s="46" t="s">
        <v>160</v>
      </c>
      <c r="B21" s="46" t="s">
        <v>80</v>
      </c>
      <c r="C21" s="46" t="s">
        <v>191</v>
      </c>
      <c r="D21" s="46" t="s">
        <v>231</v>
      </c>
      <c r="E21" s="46" t="s">
        <v>302</v>
      </c>
      <c r="F21" s="62">
        <f>'Stavební rozpočet'!F25</f>
        <v>7</v>
      </c>
      <c r="G21" s="62">
        <v>0</v>
      </c>
      <c r="H21" s="62">
        <f>F21*AE21</f>
        <v>0</v>
      </c>
      <c r="I21" s="62">
        <f>J21-H21</f>
        <v>0</v>
      </c>
      <c r="J21" s="62">
        <f>F21*G21</f>
        <v>0</v>
      </c>
      <c r="K21" s="62">
        <f>'Stavební rozpočet'!K25</f>
        <v>0</v>
      </c>
      <c r="L21" s="62">
        <f>F21*K21</f>
        <v>0</v>
      </c>
      <c r="M21" s="60" t="s">
        <v>308</v>
      </c>
      <c r="P21" s="38">
        <f>IF(AG21="5",J21,0)</f>
        <v>0</v>
      </c>
      <c r="R21" s="38">
        <f>IF(AG21="1",H21,0)</f>
        <v>0</v>
      </c>
      <c r="S21" s="38">
        <f>IF(AG21="1",I21,0)</f>
        <v>0</v>
      </c>
      <c r="T21" s="38">
        <f>IF(AG21="7",H21,0)</f>
        <v>0</v>
      </c>
      <c r="U21" s="38">
        <f>IF(AG21="7",I21,0)</f>
        <v>0</v>
      </c>
      <c r="V21" s="38">
        <f>IF(AG21="2",H21,0)</f>
        <v>0</v>
      </c>
      <c r="W21" s="38">
        <f>IF(AG21="2",I21,0)</f>
        <v>0</v>
      </c>
      <c r="X21" s="38">
        <f>IF(AG21="0",J21,0)</f>
        <v>0</v>
      </c>
      <c r="Y21" s="57" t="s">
        <v>80</v>
      </c>
      <c r="Z21" s="62">
        <f>IF(AD21=0,J21,0)</f>
        <v>0</v>
      </c>
      <c r="AA21" s="62">
        <f>IF(AD21=15,J21,0)</f>
        <v>0</v>
      </c>
      <c r="AB21" s="62">
        <f>IF(AD21=21,J21,0)</f>
        <v>0</v>
      </c>
      <c r="AD21" s="38">
        <v>21</v>
      </c>
      <c r="AE21" s="38">
        <f>G21*0</f>
        <v>0</v>
      </c>
      <c r="AF21" s="38">
        <f>G21*(1-0)</f>
        <v>0</v>
      </c>
      <c r="AG21" s="60" t="s">
        <v>97</v>
      </c>
      <c r="AM21" s="38">
        <f>F21*AE21</f>
        <v>0</v>
      </c>
      <c r="AN21" s="38">
        <f>F21*AF21</f>
        <v>0</v>
      </c>
      <c r="AO21" s="61" t="s">
        <v>310</v>
      </c>
      <c r="AP21" s="61" t="s">
        <v>324</v>
      </c>
      <c r="AQ21" s="57" t="s">
        <v>332</v>
      </c>
      <c r="AS21" s="38">
        <f>AM21+AN21</f>
        <v>0</v>
      </c>
      <c r="AT21" s="38">
        <f>G21/(100-AU21)*100</f>
        <v>0</v>
      </c>
      <c r="AU21" s="38">
        <v>0</v>
      </c>
      <c r="AV21" s="38">
        <f>L21</f>
        <v>0</v>
      </c>
    </row>
    <row r="22" spans="4:6" ht="12.75">
      <c r="D22" s="66" t="s">
        <v>122</v>
      </c>
      <c r="F22" s="67">
        <v>7</v>
      </c>
    </row>
    <row r="23" spans="1:48" ht="12.75">
      <c r="A23" s="46" t="s">
        <v>161</v>
      </c>
      <c r="B23" s="46" t="s">
        <v>80</v>
      </c>
      <c r="C23" s="46" t="s">
        <v>192</v>
      </c>
      <c r="D23" s="46" t="s">
        <v>232</v>
      </c>
      <c r="E23" s="46" t="s">
        <v>302</v>
      </c>
      <c r="F23" s="62">
        <f>'Stavební rozpočet'!F27</f>
        <v>7</v>
      </c>
      <c r="G23" s="62">
        <v>0</v>
      </c>
      <c r="H23" s="62">
        <f>F23*AE23</f>
        <v>0</v>
      </c>
      <c r="I23" s="62">
        <f>J23-H23</f>
        <v>0</v>
      </c>
      <c r="J23" s="62">
        <f>F23*G23</f>
        <v>0</v>
      </c>
      <c r="K23" s="62">
        <f>'Stavební rozpočet'!K27</f>
        <v>0</v>
      </c>
      <c r="L23" s="62">
        <f>F23*K23</f>
        <v>0</v>
      </c>
      <c r="M23" s="60" t="s">
        <v>308</v>
      </c>
      <c r="P23" s="38">
        <f>IF(AG23="5",J23,0)</f>
        <v>0</v>
      </c>
      <c r="R23" s="38">
        <f>IF(AG23="1",H23,0)</f>
        <v>0</v>
      </c>
      <c r="S23" s="38">
        <f>IF(AG23="1",I23,0)</f>
        <v>0</v>
      </c>
      <c r="T23" s="38">
        <f>IF(AG23="7",H23,0)</f>
        <v>0</v>
      </c>
      <c r="U23" s="38">
        <f>IF(AG23="7",I23,0)</f>
        <v>0</v>
      </c>
      <c r="V23" s="38">
        <f>IF(AG23="2",H23,0)</f>
        <v>0</v>
      </c>
      <c r="W23" s="38">
        <f>IF(AG23="2",I23,0)</f>
        <v>0</v>
      </c>
      <c r="X23" s="38">
        <f>IF(AG23="0",J23,0)</f>
        <v>0</v>
      </c>
      <c r="Y23" s="57" t="s">
        <v>80</v>
      </c>
      <c r="Z23" s="62">
        <f>IF(AD23=0,J23,0)</f>
        <v>0</v>
      </c>
      <c r="AA23" s="62">
        <f>IF(AD23=15,J23,0)</f>
        <v>0</v>
      </c>
      <c r="AB23" s="62">
        <f>IF(AD23=21,J23,0)</f>
        <v>0</v>
      </c>
      <c r="AD23" s="38">
        <v>21</v>
      </c>
      <c r="AE23" s="38">
        <f>G23*0</f>
        <v>0</v>
      </c>
      <c r="AF23" s="38">
        <f>G23*(1-0)</f>
        <v>0</v>
      </c>
      <c r="AG23" s="60" t="s">
        <v>97</v>
      </c>
      <c r="AM23" s="38">
        <f>F23*AE23</f>
        <v>0</v>
      </c>
      <c r="AN23" s="38">
        <f>F23*AF23</f>
        <v>0</v>
      </c>
      <c r="AO23" s="61" t="s">
        <v>310</v>
      </c>
      <c r="AP23" s="61" t="s">
        <v>324</v>
      </c>
      <c r="AQ23" s="57" t="s">
        <v>332</v>
      </c>
      <c r="AS23" s="38">
        <f>AM23+AN23</f>
        <v>0</v>
      </c>
      <c r="AT23" s="38">
        <f>G23/(100-AU23)*100</f>
        <v>0</v>
      </c>
      <c r="AU23" s="38">
        <v>0</v>
      </c>
      <c r="AV23" s="38">
        <f>L23</f>
        <v>0</v>
      </c>
    </row>
    <row r="24" spans="4:6" ht="12.75">
      <c r="D24" s="66" t="s">
        <v>122</v>
      </c>
      <c r="F24" s="67">
        <v>7</v>
      </c>
    </row>
    <row r="25" spans="1:37" ht="12.75">
      <c r="A25" s="45"/>
      <c r="B25" s="50" t="s">
        <v>80</v>
      </c>
      <c r="C25" s="50" t="s">
        <v>130</v>
      </c>
      <c r="D25" s="50" t="s">
        <v>145</v>
      </c>
      <c r="E25" s="45" t="s">
        <v>77</v>
      </c>
      <c r="F25" s="45" t="s">
        <v>77</v>
      </c>
      <c r="G25" s="45" t="s">
        <v>77</v>
      </c>
      <c r="H25" s="64">
        <f>SUM(H26:H34)</f>
        <v>0</v>
      </c>
      <c r="I25" s="64">
        <f>SUM(I26:I34)</f>
        <v>0</v>
      </c>
      <c r="J25" s="64">
        <f>H25+I25</f>
        <v>0</v>
      </c>
      <c r="K25" s="57"/>
      <c r="L25" s="64">
        <f>SUM(L26:L34)</f>
        <v>22.035216</v>
      </c>
      <c r="M25" s="57"/>
      <c r="Y25" s="57" t="s">
        <v>80</v>
      </c>
      <c r="AI25" s="64">
        <f>SUM(Z26:Z34)</f>
        <v>0</v>
      </c>
      <c r="AJ25" s="64">
        <f>SUM(AA26:AA34)</f>
        <v>0</v>
      </c>
      <c r="AK25" s="64">
        <f>SUM(AB26:AB34)</f>
        <v>0</v>
      </c>
    </row>
    <row r="26" spans="1:48" ht="12.75">
      <c r="A26" s="46" t="s">
        <v>162</v>
      </c>
      <c r="B26" s="46" t="s">
        <v>80</v>
      </c>
      <c r="C26" s="46" t="s">
        <v>193</v>
      </c>
      <c r="D26" s="46" t="s">
        <v>233</v>
      </c>
      <c r="E26" s="46" t="s">
        <v>302</v>
      </c>
      <c r="F26" s="62">
        <f>'Stavební rozpočet'!F30</f>
        <v>8.26</v>
      </c>
      <c r="G26" s="62">
        <v>0</v>
      </c>
      <c r="H26" s="62">
        <f>F26*AE26</f>
        <v>0</v>
      </c>
      <c r="I26" s="62">
        <f>J26-H26</f>
        <v>0</v>
      </c>
      <c r="J26" s="62">
        <f>F26*G26</f>
        <v>0</v>
      </c>
      <c r="K26" s="62">
        <f>'Stavební rozpočet'!K30</f>
        <v>2.5856</v>
      </c>
      <c r="L26" s="62">
        <f>F26*K26</f>
        <v>21.357056</v>
      </c>
      <c r="M26" s="60" t="s">
        <v>308</v>
      </c>
      <c r="P26" s="38">
        <f>IF(AG26="5",J26,0)</f>
        <v>0</v>
      </c>
      <c r="R26" s="38">
        <f>IF(AG26="1",H26,0)</f>
        <v>0</v>
      </c>
      <c r="S26" s="38">
        <f>IF(AG26="1",I26,0)</f>
        <v>0</v>
      </c>
      <c r="T26" s="38">
        <f>IF(AG26="7",H26,0)</f>
        <v>0</v>
      </c>
      <c r="U26" s="38">
        <f>IF(AG26="7",I26,0)</f>
        <v>0</v>
      </c>
      <c r="V26" s="38">
        <f>IF(AG26="2",H26,0)</f>
        <v>0</v>
      </c>
      <c r="W26" s="38">
        <f>IF(AG26="2",I26,0)</f>
        <v>0</v>
      </c>
      <c r="X26" s="38">
        <f>IF(AG26="0",J26,0)</f>
        <v>0</v>
      </c>
      <c r="Y26" s="57" t="s">
        <v>80</v>
      </c>
      <c r="Z26" s="62">
        <f>IF(AD26=0,J26,0)</f>
        <v>0</v>
      </c>
      <c r="AA26" s="62">
        <f>IF(AD26=15,J26,0)</f>
        <v>0</v>
      </c>
      <c r="AB26" s="62">
        <f>IF(AD26=21,J26,0)</f>
        <v>0</v>
      </c>
      <c r="AD26" s="38">
        <v>21</v>
      </c>
      <c r="AE26" s="38">
        <f>G26*0.929592156862745</f>
        <v>0</v>
      </c>
      <c r="AF26" s="38">
        <f>G26*(1-0.929592156862745)</f>
        <v>0</v>
      </c>
      <c r="AG26" s="60" t="s">
        <v>97</v>
      </c>
      <c r="AM26" s="38">
        <f>F26*AE26</f>
        <v>0</v>
      </c>
      <c r="AN26" s="38">
        <f>F26*AF26</f>
        <v>0</v>
      </c>
      <c r="AO26" s="61" t="s">
        <v>311</v>
      </c>
      <c r="AP26" s="61" t="s">
        <v>325</v>
      </c>
      <c r="AQ26" s="57" t="s">
        <v>332</v>
      </c>
      <c r="AS26" s="38">
        <f>AM26+AN26</f>
        <v>0</v>
      </c>
      <c r="AT26" s="38">
        <f>G26/(100-AU26)*100</f>
        <v>0</v>
      </c>
      <c r="AU26" s="38">
        <v>0</v>
      </c>
      <c r="AV26" s="38">
        <f>L26</f>
        <v>21.357056</v>
      </c>
    </row>
    <row r="27" spans="4:6" ht="12.75">
      <c r="D27" s="66" t="s">
        <v>234</v>
      </c>
      <c r="F27" s="67">
        <v>5.5</v>
      </c>
    </row>
    <row r="28" spans="4:6" ht="12.75">
      <c r="D28" s="66" t="s">
        <v>235</v>
      </c>
      <c r="F28" s="67">
        <v>1</v>
      </c>
    </row>
    <row r="29" spans="4:6" ht="12.75">
      <c r="D29" s="66" t="s">
        <v>236</v>
      </c>
      <c r="F29" s="67">
        <v>1.76</v>
      </c>
    </row>
    <row r="30" spans="1:48" ht="12.75">
      <c r="A30" s="46" t="s">
        <v>163</v>
      </c>
      <c r="B30" s="46" t="s">
        <v>80</v>
      </c>
      <c r="C30" s="46" t="s">
        <v>194</v>
      </c>
      <c r="D30" s="46" t="s">
        <v>237</v>
      </c>
      <c r="E30" s="46" t="s">
        <v>303</v>
      </c>
      <c r="F30" s="62">
        <f>'Stavební rozpočet'!F34</f>
        <v>17.3</v>
      </c>
      <c r="G30" s="62">
        <v>0</v>
      </c>
      <c r="H30" s="62">
        <f>F30*AE30</f>
        <v>0</v>
      </c>
      <c r="I30" s="62">
        <f>J30-H30</f>
        <v>0</v>
      </c>
      <c r="J30" s="62">
        <f>F30*G30</f>
        <v>0</v>
      </c>
      <c r="K30" s="62">
        <f>'Stavební rozpočet'!K34</f>
        <v>0.0392</v>
      </c>
      <c r="L30" s="62">
        <f>F30*K30</f>
        <v>0.67816</v>
      </c>
      <c r="M30" s="60" t="s">
        <v>308</v>
      </c>
      <c r="P30" s="38">
        <f>IF(AG30="5",J30,0)</f>
        <v>0</v>
      </c>
      <c r="R30" s="38">
        <f>IF(AG30="1",H30,0)</f>
        <v>0</v>
      </c>
      <c r="S30" s="38">
        <f>IF(AG30="1",I30,0)</f>
        <v>0</v>
      </c>
      <c r="T30" s="38">
        <f>IF(AG30="7",H30,0)</f>
        <v>0</v>
      </c>
      <c r="U30" s="38">
        <f>IF(AG30="7",I30,0)</f>
        <v>0</v>
      </c>
      <c r="V30" s="38">
        <f>IF(AG30="2",H30,0)</f>
        <v>0</v>
      </c>
      <c r="W30" s="38">
        <f>IF(AG30="2",I30,0)</f>
        <v>0</v>
      </c>
      <c r="X30" s="38">
        <f>IF(AG30="0",J30,0)</f>
        <v>0</v>
      </c>
      <c r="Y30" s="57" t="s">
        <v>80</v>
      </c>
      <c r="Z30" s="62">
        <f>IF(AD30=0,J30,0)</f>
        <v>0</v>
      </c>
      <c r="AA30" s="62">
        <f>IF(AD30=15,J30,0)</f>
        <v>0</v>
      </c>
      <c r="AB30" s="62">
        <f>IF(AD30=21,J30,0)</f>
        <v>0</v>
      </c>
      <c r="AD30" s="38">
        <v>21</v>
      </c>
      <c r="AE30" s="38">
        <f>G30*0.324190390188925</f>
        <v>0</v>
      </c>
      <c r="AF30" s="38">
        <f>G30*(1-0.324190390188925)</f>
        <v>0</v>
      </c>
      <c r="AG30" s="60" t="s">
        <v>97</v>
      </c>
      <c r="AM30" s="38">
        <f>F30*AE30</f>
        <v>0</v>
      </c>
      <c r="AN30" s="38">
        <f>F30*AF30</f>
        <v>0</v>
      </c>
      <c r="AO30" s="61" t="s">
        <v>311</v>
      </c>
      <c r="AP30" s="61" t="s">
        <v>325</v>
      </c>
      <c r="AQ30" s="57" t="s">
        <v>332</v>
      </c>
      <c r="AS30" s="38">
        <f>AM30+AN30</f>
        <v>0</v>
      </c>
      <c r="AT30" s="38">
        <f>G30/(100-AU30)*100</f>
        <v>0</v>
      </c>
      <c r="AU30" s="38">
        <v>0</v>
      </c>
      <c r="AV30" s="38">
        <f>L30</f>
        <v>0.67816</v>
      </c>
    </row>
    <row r="31" spans="4:6" ht="12.75">
      <c r="D31" s="66" t="s">
        <v>238</v>
      </c>
      <c r="F31" s="67">
        <v>6.5</v>
      </c>
    </row>
    <row r="32" spans="4:6" ht="12.75">
      <c r="D32" s="66" t="s">
        <v>239</v>
      </c>
      <c r="F32" s="67">
        <v>2</v>
      </c>
    </row>
    <row r="33" spans="4:6" ht="12.75">
      <c r="D33" s="66" t="s">
        <v>240</v>
      </c>
      <c r="F33" s="67">
        <v>8.8</v>
      </c>
    </row>
    <row r="34" spans="1:48" ht="12.75">
      <c r="A34" s="46" t="s">
        <v>122</v>
      </c>
      <c r="B34" s="46" t="s">
        <v>80</v>
      </c>
      <c r="C34" s="46" t="s">
        <v>195</v>
      </c>
      <c r="D34" s="46" t="s">
        <v>241</v>
      </c>
      <c r="E34" s="46" t="s">
        <v>303</v>
      </c>
      <c r="F34" s="62">
        <f>'Stavební rozpočet'!F38</f>
        <v>17.3</v>
      </c>
      <c r="G34" s="62">
        <v>0</v>
      </c>
      <c r="H34" s="62">
        <f>F34*AE34</f>
        <v>0</v>
      </c>
      <c r="I34" s="62">
        <f>J34-H34</f>
        <v>0</v>
      </c>
      <c r="J34" s="62">
        <f>F34*G34</f>
        <v>0</v>
      </c>
      <c r="K34" s="62">
        <f>'Stavební rozpočet'!K38</f>
        <v>0</v>
      </c>
      <c r="L34" s="62">
        <f>F34*K34</f>
        <v>0</v>
      </c>
      <c r="M34" s="60" t="s">
        <v>308</v>
      </c>
      <c r="P34" s="38">
        <f>IF(AG34="5",J34,0)</f>
        <v>0</v>
      </c>
      <c r="R34" s="38">
        <f>IF(AG34="1",H34,0)</f>
        <v>0</v>
      </c>
      <c r="S34" s="38">
        <f>IF(AG34="1",I34,0)</f>
        <v>0</v>
      </c>
      <c r="T34" s="38">
        <f>IF(AG34="7",H34,0)</f>
        <v>0</v>
      </c>
      <c r="U34" s="38">
        <f>IF(AG34="7",I34,0)</f>
        <v>0</v>
      </c>
      <c r="V34" s="38">
        <f>IF(AG34="2",H34,0)</f>
        <v>0</v>
      </c>
      <c r="W34" s="38">
        <f>IF(AG34="2",I34,0)</f>
        <v>0</v>
      </c>
      <c r="X34" s="38">
        <f>IF(AG34="0",J34,0)</f>
        <v>0</v>
      </c>
      <c r="Y34" s="57" t="s">
        <v>80</v>
      </c>
      <c r="Z34" s="62">
        <f>IF(AD34=0,J34,0)</f>
        <v>0</v>
      </c>
      <c r="AA34" s="62">
        <f>IF(AD34=15,J34,0)</f>
        <v>0</v>
      </c>
      <c r="AB34" s="62">
        <f>IF(AD34=21,J34,0)</f>
        <v>0</v>
      </c>
      <c r="AD34" s="38">
        <v>21</v>
      </c>
      <c r="AE34" s="38">
        <f>G34*0</f>
        <v>0</v>
      </c>
      <c r="AF34" s="38">
        <f>G34*(1-0)</f>
        <v>0</v>
      </c>
      <c r="AG34" s="60" t="s">
        <v>97</v>
      </c>
      <c r="AM34" s="38">
        <f>F34*AE34</f>
        <v>0</v>
      </c>
      <c r="AN34" s="38">
        <f>F34*AF34</f>
        <v>0</v>
      </c>
      <c r="AO34" s="61" t="s">
        <v>311</v>
      </c>
      <c r="AP34" s="61" t="s">
        <v>325</v>
      </c>
      <c r="AQ34" s="57" t="s">
        <v>332</v>
      </c>
      <c r="AS34" s="38">
        <f>AM34+AN34</f>
        <v>0</v>
      </c>
      <c r="AT34" s="38">
        <f>G34/(100-AU34)*100</f>
        <v>0</v>
      </c>
      <c r="AU34" s="38">
        <v>0</v>
      </c>
      <c r="AV34" s="38">
        <f>L34</f>
        <v>0</v>
      </c>
    </row>
    <row r="35" spans="4:6" ht="12.75">
      <c r="D35" s="66" t="s">
        <v>242</v>
      </c>
      <c r="F35" s="67">
        <v>17.3</v>
      </c>
    </row>
    <row r="36" spans="1:37" ht="12.75">
      <c r="A36" s="45"/>
      <c r="B36" s="50" t="s">
        <v>80</v>
      </c>
      <c r="C36" s="50" t="s">
        <v>131</v>
      </c>
      <c r="D36" s="50" t="s">
        <v>146</v>
      </c>
      <c r="E36" s="45" t="s">
        <v>77</v>
      </c>
      <c r="F36" s="45" t="s">
        <v>77</v>
      </c>
      <c r="G36" s="45" t="s">
        <v>77</v>
      </c>
      <c r="H36" s="64">
        <f>SUM(H37:H37)</f>
        <v>0</v>
      </c>
      <c r="I36" s="64">
        <f>SUM(I37:I37)</f>
        <v>0</v>
      </c>
      <c r="J36" s="64">
        <f>H36+I36</f>
        <v>0</v>
      </c>
      <c r="K36" s="57"/>
      <c r="L36" s="64">
        <f>SUM(L37:L37)</f>
        <v>0.4075008</v>
      </c>
      <c r="M36" s="57"/>
      <c r="Y36" s="57" t="s">
        <v>80</v>
      </c>
      <c r="AI36" s="64">
        <f>SUM(Z37:Z37)</f>
        <v>0</v>
      </c>
      <c r="AJ36" s="64">
        <f>SUM(AA37:AA37)</f>
        <v>0</v>
      </c>
      <c r="AK36" s="64">
        <f>SUM(AB37:AB37)</f>
        <v>0</v>
      </c>
    </row>
    <row r="37" spans="1:48" ht="12.75">
      <c r="A37" s="46" t="s">
        <v>164</v>
      </c>
      <c r="B37" s="46" t="s">
        <v>80</v>
      </c>
      <c r="C37" s="46" t="s">
        <v>196</v>
      </c>
      <c r="D37" s="46" t="s">
        <v>243</v>
      </c>
      <c r="E37" s="46" t="s">
        <v>303</v>
      </c>
      <c r="F37" s="62">
        <f>'Stavební rozpočet'!F41</f>
        <v>7.68</v>
      </c>
      <c r="G37" s="62">
        <v>0</v>
      </c>
      <c r="H37" s="62">
        <f>F37*AE37</f>
        <v>0</v>
      </c>
      <c r="I37" s="62">
        <f>J37-H37</f>
        <v>0</v>
      </c>
      <c r="J37" s="62">
        <f>F37*G37</f>
        <v>0</v>
      </c>
      <c r="K37" s="62">
        <f>'Stavební rozpočet'!K41</f>
        <v>0.05306</v>
      </c>
      <c r="L37" s="62">
        <f>F37*K37</f>
        <v>0.4075008</v>
      </c>
      <c r="M37" s="60" t="s">
        <v>308</v>
      </c>
      <c r="P37" s="38">
        <f>IF(AG37="5",J37,0)</f>
        <v>0</v>
      </c>
      <c r="R37" s="38">
        <f>IF(AG37="1",H37,0)</f>
        <v>0</v>
      </c>
      <c r="S37" s="38">
        <f>IF(AG37="1",I37,0)</f>
        <v>0</v>
      </c>
      <c r="T37" s="38">
        <f>IF(AG37="7",H37,0)</f>
        <v>0</v>
      </c>
      <c r="U37" s="38">
        <f>IF(AG37="7",I37,0)</f>
        <v>0</v>
      </c>
      <c r="V37" s="38">
        <f>IF(AG37="2",H37,0)</f>
        <v>0</v>
      </c>
      <c r="W37" s="38">
        <f>IF(AG37="2",I37,0)</f>
        <v>0</v>
      </c>
      <c r="X37" s="38">
        <f>IF(AG37="0",J37,0)</f>
        <v>0</v>
      </c>
      <c r="Y37" s="57" t="s">
        <v>80</v>
      </c>
      <c r="Z37" s="62">
        <f>IF(AD37=0,J37,0)</f>
        <v>0</v>
      </c>
      <c r="AA37" s="62">
        <f>IF(AD37=15,J37,0)</f>
        <v>0</v>
      </c>
      <c r="AB37" s="62">
        <f>IF(AD37=21,J37,0)</f>
        <v>0</v>
      </c>
      <c r="AD37" s="38">
        <v>21</v>
      </c>
      <c r="AE37" s="38">
        <f>G37*0.270871798555983</f>
        <v>0</v>
      </c>
      <c r="AF37" s="38">
        <f>G37*(1-0.270871798555983)</f>
        <v>0</v>
      </c>
      <c r="AG37" s="60" t="s">
        <v>97</v>
      </c>
      <c r="AM37" s="38">
        <f>F37*AE37</f>
        <v>0</v>
      </c>
      <c r="AN37" s="38">
        <f>F37*AF37</f>
        <v>0</v>
      </c>
      <c r="AO37" s="61" t="s">
        <v>312</v>
      </c>
      <c r="AP37" s="61" t="s">
        <v>326</v>
      </c>
      <c r="AQ37" s="57" t="s">
        <v>332</v>
      </c>
      <c r="AS37" s="38">
        <f>AM37+AN37</f>
        <v>0</v>
      </c>
      <c r="AT37" s="38">
        <f>G37/(100-AU37)*100</f>
        <v>0</v>
      </c>
      <c r="AU37" s="38">
        <v>0</v>
      </c>
      <c r="AV37" s="38">
        <f>L37</f>
        <v>0.4075008</v>
      </c>
    </row>
    <row r="38" spans="4:6" ht="12.75">
      <c r="D38" s="66" t="s">
        <v>244</v>
      </c>
      <c r="F38" s="67">
        <v>7.68</v>
      </c>
    </row>
    <row r="39" spans="1:37" ht="12.75">
      <c r="A39" s="45"/>
      <c r="B39" s="50" t="s">
        <v>80</v>
      </c>
      <c r="C39" s="50" t="s">
        <v>132</v>
      </c>
      <c r="D39" s="50" t="s">
        <v>147</v>
      </c>
      <c r="E39" s="45" t="s">
        <v>77</v>
      </c>
      <c r="F39" s="45" t="s">
        <v>77</v>
      </c>
      <c r="G39" s="45" t="s">
        <v>77</v>
      </c>
      <c r="H39" s="64">
        <f>SUM(H40:H57)</f>
        <v>0</v>
      </c>
      <c r="I39" s="64">
        <f>SUM(I40:I57)</f>
        <v>0</v>
      </c>
      <c r="J39" s="64">
        <f>H39+I39</f>
        <v>0</v>
      </c>
      <c r="K39" s="57"/>
      <c r="L39" s="64">
        <f>SUM(L40:L57)</f>
        <v>1.463984</v>
      </c>
      <c r="M39" s="57"/>
      <c r="Y39" s="57" t="s">
        <v>80</v>
      </c>
      <c r="AI39" s="64">
        <f>SUM(Z40:Z57)</f>
        <v>0</v>
      </c>
      <c r="AJ39" s="64">
        <f>SUM(AA40:AA57)</f>
        <v>0</v>
      </c>
      <c r="AK39" s="64">
        <f>SUM(AB40:AB57)</f>
        <v>0</v>
      </c>
    </row>
    <row r="40" spans="1:48" ht="12.75">
      <c r="A40" s="46" t="s">
        <v>165</v>
      </c>
      <c r="B40" s="46" t="s">
        <v>80</v>
      </c>
      <c r="C40" s="46" t="s">
        <v>197</v>
      </c>
      <c r="D40" s="46" t="s">
        <v>245</v>
      </c>
      <c r="E40" s="46" t="s">
        <v>303</v>
      </c>
      <c r="F40" s="62">
        <f>'Stavební rozpočet'!F44</f>
        <v>51.04</v>
      </c>
      <c r="G40" s="62">
        <v>0</v>
      </c>
      <c r="H40" s="62">
        <f>F40*AE40</f>
        <v>0</v>
      </c>
      <c r="I40" s="62">
        <f>J40-H40</f>
        <v>0</v>
      </c>
      <c r="J40" s="62">
        <f>F40*G40</f>
        <v>0</v>
      </c>
      <c r="K40" s="62">
        <f>'Stavební rozpočet'!K44</f>
        <v>0.0201</v>
      </c>
      <c r="L40" s="62">
        <f>F40*K40</f>
        <v>1.025904</v>
      </c>
      <c r="M40" s="60" t="s">
        <v>308</v>
      </c>
      <c r="P40" s="38">
        <f>IF(AG40="5",J40,0)</f>
        <v>0</v>
      </c>
      <c r="R40" s="38">
        <f>IF(AG40="1",H40,0)</f>
        <v>0</v>
      </c>
      <c r="S40" s="38">
        <f>IF(AG40="1",I40,0)</f>
        <v>0</v>
      </c>
      <c r="T40" s="38">
        <f>IF(AG40="7",H40,0)</f>
        <v>0</v>
      </c>
      <c r="U40" s="38">
        <f>IF(AG40="7",I40,0)</f>
        <v>0</v>
      </c>
      <c r="V40" s="38">
        <f>IF(AG40="2",H40,0)</f>
        <v>0</v>
      </c>
      <c r="W40" s="38">
        <f>IF(AG40="2",I40,0)</f>
        <v>0</v>
      </c>
      <c r="X40" s="38">
        <f>IF(AG40="0",J40,0)</f>
        <v>0</v>
      </c>
      <c r="Y40" s="57" t="s">
        <v>80</v>
      </c>
      <c r="Z40" s="62">
        <f>IF(AD40=0,J40,0)</f>
        <v>0</v>
      </c>
      <c r="AA40" s="62">
        <f>IF(AD40=15,J40,0)</f>
        <v>0</v>
      </c>
      <c r="AB40" s="62">
        <f>IF(AD40=21,J40,0)</f>
        <v>0</v>
      </c>
      <c r="AD40" s="38">
        <v>21</v>
      </c>
      <c r="AE40" s="38">
        <f>G40*0.341010595220876</f>
        <v>0</v>
      </c>
      <c r="AF40" s="38">
        <f>G40*(1-0.341010595220876)</f>
        <v>0</v>
      </c>
      <c r="AG40" s="60" t="s">
        <v>97</v>
      </c>
      <c r="AM40" s="38">
        <f>F40*AE40</f>
        <v>0</v>
      </c>
      <c r="AN40" s="38">
        <f>F40*AF40</f>
        <v>0</v>
      </c>
      <c r="AO40" s="61" t="s">
        <v>313</v>
      </c>
      <c r="AP40" s="61" t="s">
        <v>326</v>
      </c>
      <c r="AQ40" s="57" t="s">
        <v>332</v>
      </c>
      <c r="AS40" s="38">
        <f>AM40+AN40</f>
        <v>0</v>
      </c>
      <c r="AT40" s="38">
        <f>G40/(100-AU40)*100</f>
        <v>0</v>
      </c>
      <c r="AU40" s="38">
        <v>0</v>
      </c>
      <c r="AV40" s="38">
        <f>L40</f>
        <v>1.025904</v>
      </c>
    </row>
    <row r="41" spans="4:6" ht="12.75">
      <c r="D41" s="66" t="s">
        <v>246</v>
      </c>
      <c r="F41" s="67">
        <v>19.53</v>
      </c>
    </row>
    <row r="42" spans="4:6" ht="12.75">
      <c r="D42" s="66" t="s">
        <v>247</v>
      </c>
      <c r="F42" s="67">
        <v>13.2</v>
      </c>
    </row>
    <row r="43" spans="4:6" ht="12.75">
      <c r="D43" s="66" t="s">
        <v>248</v>
      </c>
      <c r="F43" s="67">
        <v>10.31</v>
      </c>
    </row>
    <row r="44" spans="4:6" ht="12.75">
      <c r="D44" s="66" t="s">
        <v>249</v>
      </c>
      <c r="F44" s="67">
        <v>8</v>
      </c>
    </row>
    <row r="45" spans="1:48" ht="12.75">
      <c r="A45" s="46" t="s">
        <v>166</v>
      </c>
      <c r="B45" s="46" t="s">
        <v>80</v>
      </c>
      <c r="C45" s="46" t="s">
        <v>198</v>
      </c>
      <c r="D45" s="46" t="s">
        <v>250</v>
      </c>
      <c r="E45" s="46" t="s">
        <v>303</v>
      </c>
      <c r="F45" s="62">
        <f>'Stavební rozpočet'!F49</f>
        <v>44</v>
      </c>
      <c r="G45" s="62">
        <v>0</v>
      </c>
      <c r="H45" s="62">
        <f>F45*AE45</f>
        <v>0</v>
      </c>
      <c r="I45" s="62">
        <f>J45-H45</f>
        <v>0</v>
      </c>
      <c r="J45" s="62">
        <f>F45*G45</f>
        <v>0</v>
      </c>
      <c r="K45" s="62">
        <f>'Stavební rozpočet'!K49</f>
        <v>0.00181</v>
      </c>
      <c r="L45" s="62">
        <f>F45*K45</f>
        <v>0.07964</v>
      </c>
      <c r="M45" s="60" t="s">
        <v>308</v>
      </c>
      <c r="P45" s="38">
        <f>IF(AG45="5",J45,0)</f>
        <v>0</v>
      </c>
      <c r="R45" s="38">
        <f>IF(AG45="1",H45,0)</f>
        <v>0</v>
      </c>
      <c r="S45" s="38">
        <f>IF(AG45="1",I45,0)</f>
        <v>0</v>
      </c>
      <c r="T45" s="38">
        <f>IF(AG45="7",H45,0)</f>
        <v>0</v>
      </c>
      <c r="U45" s="38">
        <f>IF(AG45="7",I45,0)</f>
        <v>0</v>
      </c>
      <c r="V45" s="38">
        <f>IF(AG45="2",H45,0)</f>
        <v>0</v>
      </c>
      <c r="W45" s="38">
        <f>IF(AG45="2",I45,0)</f>
        <v>0</v>
      </c>
      <c r="X45" s="38">
        <f>IF(AG45="0",J45,0)</f>
        <v>0</v>
      </c>
      <c r="Y45" s="57" t="s">
        <v>80</v>
      </c>
      <c r="Z45" s="62">
        <f>IF(AD45=0,J45,0)</f>
        <v>0</v>
      </c>
      <c r="AA45" s="62">
        <f>IF(AD45=15,J45,0)</f>
        <v>0</v>
      </c>
      <c r="AB45" s="62">
        <f>IF(AD45=21,J45,0)</f>
        <v>0</v>
      </c>
      <c r="AD45" s="38">
        <v>21</v>
      </c>
      <c r="AE45" s="38">
        <f>G45*0.638880792771787</f>
        <v>0</v>
      </c>
      <c r="AF45" s="38">
        <f>G45*(1-0.638880792771787)</f>
        <v>0</v>
      </c>
      <c r="AG45" s="60" t="s">
        <v>97</v>
      </c>
      <c r="AM45" s="38">
        <f>F45*AE45</f>
        <v>0</v>
      </c>
      <c r="AN45" s="38">
        <f>F45*AF45</f>
        <v>0</v>
      </c>
      <c r="AO45" s="61" t="s">
        <v>313</v>
      </c>
      <c r="AP45" s="61" t="s">
        <v>326</v>
      </c>
      <c r="AQ45" s="57" t="s">
        <v>332</v>
      </c>
      <c r="AS45" s="38">
        <f>AM45+AN45</f>
        <v>0</v>
      </c>
      <c r="AT45" s="38">
        <f>G45/(100-AU45)*100</f>
        <v>0</v>
      </c>
      <c r="AU45" s="38">
        <v>0</v>
      </c>
      <c r="AV45" s="38">
        <f>L45</f>
        <v>0.07964</v>
      </c>
    </row>
    <row r="46" spans="4:6" ht="12.75">
      <c r="D46" s="66" t="s">
        <v>251</v>
      </c>
      <c r="F46" s="67">
        <v>44</v>
      </c>
    </row>
    <row r="47" spans="1:48" ht="12.75">
      <c r="A47" s="46" t="s">
        <v>167</v>
      </c>
      <c r="B47" s="46" t="s">
        <v>80</v>
      </c>
      <c r="C47" s="46" t="s">
        <v>199</v>
      </c>
      <c r="D47" s="46" t="s">
        <v>252</v>
      </c>
      <c r="E47" s="46" t="s">
        <v>304</v>
      </c>
      <c r="F47" s="62">
        <f>'Stavební rozpočet'!F51</f>
        <v>19</v>
      </c>
      <c r="G47" s="62">
        <v>0</v>
      </c>
      <c r="H47" s="62">
        <f>F47*AE47</f>
        <v>0</v>
      </c>
      <c r="I47" s="62">
        <f>J47-H47</f>
        <v>0</v>
      </c>
      <c r="J47" s="62">
        <f>F47*G47</f>
        <v>0</v>
      </c>
      <c r="K47" s="62">
        <f>'Stavební rozpočet'!K51</f>
        <v>0.00024</v>
      </c>
      <c r="L47" s="62">
        <f>F47*K47</f>
        <v>0.00456</v>
      </c>
      <c r="M47" s="60" t="s">
        <v>308</v>
      </c>
      <c r="P47" s="38">
        <f>IF(AG47="5",J47,0)</f>
        <v>0</v>
      </c>
      <c r="R47" s="38">
        <f>IF(AG47="1",H47,0)</f>
        <v>0</v>
      </c>
      <c r="S47" s="38">
        <f>IF(AG47="1",I47,0)</f>
        <v>0</v>
      </c>
      <c r="T47" s="38">
        <f>IF(AG47="7",H47,0)</f>
        <v>0</v>
      </c>
      <c r="U47" s="38">
        <f>IF(AG47="7",I47,0)</f>
        <v>0</v>
      </c>
      <c r="V47" s="38">
        <f>IF(AG47="2",H47,0)</f>
        <v>0</v>
      </c>
      <c r="W47" s="38">
        <f>IF(AG47="2",I47,0)</f>
        <v>0</v>
      </c>
      <c r="X47" s="38">
        <f>IF(AG47="0",J47,0)</f>
        <v>0</v>
      </c>
      <c r="Y47" s="57" t="s">
        <v>80</v>
      </c>
      <c r="Z47" s="62">
        <f>IF(AD47=0,J47,0)</f>
        <v>0</v>
      </c>
      <c r="AA47" s="62">
        <f>IF(AD47=15,J47,0)</f>
        <v>0</v>
      </c>
      <c r="AB47" s="62">
        <f>IF(AD47=21,J47,0)</f>
        <v>0</v>
      </c>
      <c r="AD47" s="38">
        <v>21</v>
      </c>
      <c r="AE47" s="38">
        <f>G47*0.0116086235489221</f>
        <v>0</v>
      </c>
      <c r="AF47" s="38">
        <f>G47*(1-0.0116086235489221)</f>
        <v>0</v>
      </c>
      <c r="AG47" s="60" t="s">
        <v>97</v>
      </c>
      <c r="AM47" s="38">
        <f>F47*AE47</f>
        <v>0</v>
      </c>
      <c r="AN47" s="38">
        <f>F47*AF47</f>
        <v>0</v>
      </c>
      <c r="AO47" s="61" t="s">
        <v>313</v>
      </c>
      <c r="AP47" s="61" t="s">
        <v>326</v>
      </c>
      <c r="AQ47" s="57" t="s">
        <v>332</v>
      </c>
      <c r="AS47" s="38">
        <f>AM47+AN47</f>
        <v>0</v>
      </c>
      <c r="AT47" s="38">
        <f>G47/(100-AU47)*100</f>
        <v>0</v>
      </c>
      <c r="AU47" s="38">
        <v>0</v>
      </c>
      <c r="AV47" s="38">
        <f>L47</f>
        <v>0.00456</v>
      </c>
    </row>
    <row r="48" spans="4:6" ht="12.75">
      <c r="D48" s="66" t="s">
        <v>253</v>
      </c>
      <c r="F48" s="67">
        <v>19</v>
      </c>
    </row>
    <row r="49" spans="1:48" ht="12.75">
      <c r="A49" s="46" t="s">
        <v>168</v>
      </c>
      <c r="B49" s="46" t="s">
        <v>80</v>
      </c>
      <c r="C49" s="46" t="s">
        <v>200</v>
      </c>
      <c r="D49" s="46" t="s">
        <v>254</v>
      </c>
      <c r="E49" s="46" t="s">
        <v>305</v>
      </c>
      <c r="F49" s="62">
        <f>'Stavební rozpočet'!F53</f>
        <v>97</v>
      </c>
      <c r="G49" s="62">
        <v>0</v>
      </c>
      <c r="H49" s="62">
        <f>F49*AE49</f>
        <v>0</v>
      </c>
      <c r="I49" s="62">
        <f>J49-H49</f>
        <v>0</v>
      </c>
      <c r="J49" s="62">
        <f>F49*G49</f>
        <v>0</v>
      </c>
      <c r="K49" s="62">
        <f>'Stavební rozpočet'!K53</f>
        <v>0</v>
      </c>
      <c r="L49" s="62">
        <f>F49*K49</f>
        <v>0</v>
      </c>
      <c r="M49" s="60" t="s">
        <v>308</v>
      </c>
      <c r="P49" s="38">
        <f>IF(AG49="5",J49,0)</f>
        <v>0</v>
      </c>
      <c r="R49" s="38">
        <f>IF(AG49="1",H49,0)</f>
        <v>0</v>
      </c>
      <c r="S49" s="38">
        <f>IF(AG49="1",I49,0)</f>
        <v>0</v>
      </c>
      <c r="T49" s="38">
        <f>IF(AG49="7",H49,0)</f>
        <v>0</v>
      </c>
      <c r="U49" s="38">
        <f>IF(AG49="7",I49,0)</f>
        <v>0</v>
      </c>
      <c r="V49" s="38">
        <f>IF(AG49="2",H49,0)</f>
        <v>0</v>
      </c>
      <c r="W49" s="38">
        <f>IF(AG49="2",I49,0)</f>
        <v>0</v>
      </c>
      <c r="X49" s="38">
        <f>IF(AG49="0",J49,0)</f>
        <v>0</v>
      </c>
      <c r="Y49" s="57" t="s">
        <v>80</v>
      </c>
      <c r="Z49" s="62">
        <f>IF(AD49=0,J49,0)</f>
        <v>0</v>
      </c>
      <c r="AA49" s="62">
        <f>IF(AD49=15,J49,0)</f>
        <v>0</v>
      </c>
      <c r="AB49" s="62">
        <f>IF(AD49=21,J49,0)</f>
        <v>0</v>
      </c>
      <c r="AD49" s="38">
        <v>21</v>
      </c>
      <c r="AE49" s="38">
        <f>G49*0.543065059194091</f>
        <v>0</v>
      </c>
      <c r="AF49" s="38">
        <f>G49*(1-0.543065059194091)</f>
        <v>0</v>
      </c>
      <c r="AG49" s="60" t="s">
        <v>97</v>
      </c>
      <c r="AM49" s="38">
        <f>F49*AE49</f>
        <v>0</v>
      </c>
      <c r="AN49" s="38">
        <f>F49*AF49</f>
        <v>0</v>
      </c>
      <c r="AO49" s="61" t="s">
        <v>313</v>
      </c>
      <c r="AP49" s="61" t="s">
        <v>326</v>
      </c>
      <c r="AQ49" s="57" t="s">
        <v>332</v>
      </c>
      <c r="AS49" s="38">
        <f>AM49+AN49</f>
        <v>0</v>
      </c>
      <c r="AT49" s="38">
        <f>G49/(100-AU49)*100</f>
        <v>0</v>
      </c>
      <c r="AU49" s="38">
        <v>0</v>
      </c>
      <c r="AV49" s="38">
        <f>L49</f>
        <v>0</v>
      </c>
    </row>
    <row r="50" spans="4:6" ht="12.75">
      <c r="D50" s="66" t="s">
        <v>255</v>
      </c>
      <c r="F50" s="67">
        <v>97</v>
      </c>
    </row>
    <row r="51" spans="1:48" ht="12.75">
      <c r="A51" s="46" t="s">
        <v>128</v>
      </c>
      <c r="B51" s="46" t="s">
        <v>80</v>
      </c>
      <c r="C51" s="46" t="s">
        <v>201</v>
      </c>
      <c r="D51" s="46" t="s">
        <v>256</v>
      </c>
      <c r="E51" s="46" t="s">
        <v>305</v>
      </c>
      <c r="F51" s="62">
        <f>'Stavební rozpočet'!F55</f>
        <v>4.48</v>
      </c>
      <c r="G51" s="62">
        <v>0</v>
      </c>
      <c r="H51" s="62">
        <f>F51*AE51</f>
        <v>0</v>
      </c>
      <c r="I51" s="62">
        <f>J51-H51</f>
        <v>0</v>
      </c>
      <c r="J51" s="62">
        <f>F51*G51</f>
        <v>0</v>
      </c>
      <c r="K51" s="62">
        <f>'Stavební rozpočet'!K55</f>
        <v>0.064</v>
      </c>
      <c r="L51" s="62">
        <f>F51*K51</f>
        <v>0.28672000000000003</v>
      </c>
      <c r="M51" s="60" t="s">
        <v>308</v>
      </c>
      <c r="P51" s="38">
        <f>IF(AG51="5",J51,0)</f>
        <v>0</v>
      </c>
      <c r="R51" s="38">
        <f>IF(AG51="1",H51,0)</f>
        <v>0</v>
      </c>
      <c r="S51" s="38">
        <f>IF(AG51="1",I51,0)</f>
        <v>0</v>
      </c>
      <c r="T51" s="38">
        <f>IF(AG51="7",H51,0)</f>
        <v>0</v>
      </c>
      <c r="U51" s="38">
        <f>IF(AG51="7",I51,0)</f>
        <v>0</v>
      </c>
      <c r="V51" s="38">
        <f>IF(AG51="2",H51,0)</f>
        <v>0</v>
      </c>
      <c r="W51" s="38">
        <f>IF(AG51="2",I51,0)</f>
        <v>0</v>
      </c>
      <c r="X51" s="38">
        <f>IF(AG51="0",J51,0)</f>
        <v>0</v>
      </c>
      <c r="Y51" s="57" t="s">
        <v>80</v>
      </c>
      <c r="Z51" s="62">
        <f>IF(AD51=0,J51,0)</f>
        <v>0</v>
      </c>
      <c r="AA51" s="62">
        <f>IF(AD51=15,J51,0)</f>
        <v>0</v>
      </c>
      <c r="AB51" s="62">
        <f>IF(AD51=21,J51,0)</f>
        <v>0</v>
      </c>
      <c r="AD51" s="38">
        <v>21</v>
      </c>
      <c r="AE51" s="38">
        <f>G51*0.712902940573881</f>
        <v>0</v>
      </c>
      <c r="AF51" s="38">
        <f>G51*(1-0.712902940573881)</f>
        <v>0</v>
      </c>
      <c r="AG51" s="60" t="s">
        <v>97</v>
      </c>
      <c r="AM51" s="38">
        <f>F51*AE51</f>
        <v>0</v>
      </c>
      <c r="AN51" s="38">
        <f>F51*AF51</f>
        <v>0</v>
      </c>
      <c r="AO51" s="61" t="s">
        <v>313</v>
      </c>
      <c r="AP51" s="61" t="s">
        <v>326</v>
      </c>
      <c r="AQ51" s="57" t="s">
        <v>332</v>
      </c>
      <c r="AS51" s="38">
        <f>AM51+AN51</f>
        <v>0</v>
      </c>
      <c r="AT51" s="38">
        <f>G51/(100-AU51)*100</f>
        <v>0</v>
      </c>
      <c r="AU51" s="38">
        <v>0</v>
      </c>
      <c r="AV51" s="38">
        <f>L51</f>
        <v>0.28672000000000003</v>
      </c>
    </row>
    <row r="52" spans="4:6" ht="12.75">
      <c r="D52" s="66" t="s">
        <v>257</v>
      </c>
      <c r="F52" s="67">
        <v>4.48</v>
      </c>
    </row>
    <row r="53" spans="1:48" ht="12.75">
      <c r="A53" s="65" t="s">
        <v>169</v>
      </c>
      <c r="B53" s="65" t="s">
        <v>80</v>
      </c>
      <c r="C53" s="65" t="s">
        <v>202</v>
      </c>
      <c r="D53" s="65" t="s">
        <v>258</v>
      </c>
      <c r="E53" s="65" t="s">
        <v>304</v>
      </c>
      <c r="F53" s="69">
        <f>'Stavební rozpočet'!F57</f>
        <v>7</v>
      </c>
      <c r="G53" s="69">
        <v>0</v>
      </c>
      <c r="H53" s="69">
        <f>F53*AE53</f>
        <v>0</v>
      </c>
      <c r="I53" s="69">
        <f>J53-H53</f>
        <v>0</v>
      </c>
      <c r="J53" s="69">
        <f>F53*G53</f>
        <v>0</v>
      </c>
      <c r="K53" s="69">
        <f>'Stavební rozpočet'!K57</f>
        <v>0.009</v>
      </c>
      <c r="L53" s="69">
        <f>F53*K53</f>
        <v>0.063</v>
      </c>
      <c r="M53" s="68" t="s">
        <v>308</v>
      </c>
      <c r="P53" s="38">
        <f>IF(AG53="5",J53,0)</f>
        <v>0</v>
      </c>
      <c r="R53" s="38">
        <f>IF(AG53="1",H53,0)</f>
        <v>0</v>
      </c>
      <c r="S53" s="38">
        <f>IF(AG53="1",I53,0)</f>
        <v>0</v>
      </c>
      <c r="T53" s="38">
        <f>IF(AG53="7",H53,0)</f>
        <v>0</v>
      </c>
      <c r="U53" s="38">
        <f>IF(AG53="7",I53,0)</f>
        <v>0</v>
      </c>
      <c r="V53" s="38">
        <f>IF(AG53="2",H53,0)</f>
        <v>0</v>
      </c>
      <c r="W53" s="38">
        <f>IF(AG53="2",I53,0)</f>
        <v>0</v>
      </c>
      <c r="X53" s="38">
        <f>IF(AG53="0",J53,0)</f>
        <v>0</v>
      </c>
      <c r="Y53" s="57" t="s">
        <v>80</v>
      </c>
      <c r="Z53" s="69">
        <f>IF(AD53=0,J53,0)</f>
        <v>0</v>
      </c>
      <c r="AA53" s="69">
        <f>IF(AD53=15,J53,0)</f>
        <v>0</v>
      </c>
      <c r="AB53" s="69">
        <f>IF(AD53=21,J53,0)</f>
        <v>0</v>
      </c>
      <c r="AD53" s="38">
        <v>21</v>
      </c>
      <c r="AE53" s="38">
        <f>G53*1</f>
        <v>0</v>
      </c>
      <c r="AF53" s="38">
        <f>G53*(1-1)</f>
        <v>0</v>
      </c>
      <c r="AG53" s="68" t="s">
        <v>97</v>
      </c>
      <c r="AM53" s="38">
        <f>F53*AE53</f>
        <v>0</v>
      </c>
      <c r="AN53" s="38">
        <f>F53*AF53</f>
        <v>0</v>
      </c>
      <c r="AO53" s="61" t="s">
        <v>313</v>
      </c>
      <c r="AP53" s="61" t="s">
        <v>326</v>
      </c>
      <c r="AQ53" s="57" t="s">
        <v>332</v>
      </c>
      <c r="AS53" s="38">
        <f>AM53+AN53</f>
        <v>0</v>
      </c>
      <c r="AT53" s="38">
        <f>G53/(100-AU53)*100</f>
        <v>0</v>
      </c>
      <c r="AU53" s="38">
        <v>0</v>
      </c>
      <c r="AV53" s="38">
        <f>L53</f>
        <v>0.063</v>
      </c>
    </row>
    <row r="54" spans="4:6" ht="12.75">
      <c r="D54" s="66" t="s">
        <v>122</v>
      </c>
      <c r="F54" s="67">
        <v>7</v>
      </c>
    </row>
    <row r="55" spans="1:48" ht="12.75">
      <c r="A55" s="46" t="s">
        <v>170</v>
      </c>
      <c r="B55" s="46" t="s">
        <v>80</v>
      </c>
      <c r="C55" s="46" t="s">
        <v>199</v>
      </c>
      <c r="D55" s="46" t="s">
        <v>259</v>
      </c>
      <c r="E55" s="46" t="s">
        <v>304</v>
      </c>
      <c r="F55" s="62">
        <f>'Stavební rozpočet'!F59</f>
        <v>4</v>
      </c>
      <c r="G55" s="62">
        <v>0</v>
      </c>
      <c r="H55" s="62">
        <f>F55*AE55</f>
        <v>0</v>
      </c>
      <c r="I55" s="62">
        <f>J55-H55</f>
        <v>0</v>
      </c>
      <c r="J55" s="62">
        <f>F55*G55</f>
        <v>0</v>
      </c>
      <c r="K55" s="62">
        <f>'Stavební rozpočet'!K59</f>
        <v>0.00024</v>
      </c>
      <c r="L55" s="62">
        <f>F55*K55</f>
        <v>0.00096</v>
      </c>
      <c r="M55" s="60" t="s">
        <v>308</v>
      </c>
      <c r="P55" s="38">
        <f>IF(AG55="5",J55,0)</f>
        <v>0</v>
      </c>
      <c r="R55" s="38">
        <f>IF(AG55="1",H55,0)</f>
        <v>0</v>
      </c>
      <c r="S55" s="38">
        <f>IF(AG55="1",I55,0)</f>
        <v>0</v>
      </c>
      <c r="T55" s="38">
        <f>IF(AG55="7",H55,0)</f>
        <v>0</v>
      </c>
      <c r="U55" s="38">
        <f>IF(AG55="7",I55,0)</f>
        <v>0</v>
      </c>
      <c r="V55" s="38">
        <f>IF(AG55="2",H55,0)</f>
        <v>0</v>
      </c>
      <c r="W55" s="38">
        <f>IF(AG55="2",I55,0)</f>
        <v>0</v>
      </c>
      <c r="X55" s="38">
        <f>IF(AG55="0",J55,0)</f>
        <v>0</v>
      </c>
      <c r="Y55" s="57" t="s">
        <v>80</v>
      </c>
      <c r="Z55" s="62">
        <f>IF(AD55=0,J55,0)</f>
        <v>0</v>
      </c>
      <c r="AA55" s="62">
        <f>IF(AD55=15,J55,0)</f>
        <v>0</v>
      </c>
      <c r="AB55" s="62">
        <f>IF(AD55=21,J55,0)</f>
        <v>0</v>
      </c>
      <c r="AD55" s="38">
        <v>21</v>
      </c>
      <c r="AE55" s="38">
        <f>G55*0.0116086235489221</f>
        <v>0</v>
      </c>
      <c r="AF55" s="38">
        <f>G55*(1-0.0116086235489221)</f>
        <v>0</v>
      </c>
      <c r="AG55" s="60" t="s">
        <v>97</v>
      </c>
      <c r="AM55" s="38">
        <f>F55*AE55</f>
        <v>0</v>
      </c>
      <c r="AN55" s="38">
        <f>F55*AF55</f>
        <v>0</v>
      </c>
      <c r="AO55" s="61" t="s">
        <v>313</v>
      </c>
      <c r="AP55" s="61" t="s">
        <v>326</v>
      </c>
      <c r="AQ55" s="57" t="s">
        <v>332</v>
      </c>
      <c r="AS55" s="38">
        <f>AM55+AN55</f>
        <v>0</v>
      </c>
      <c r="AT55" s="38">
        <f>G55/(100-AU55)*100</f>
        <v>0</v>
      </c>
      <c r="AU55" s="38">
        <v>0</v>
      </c>
      <c r="AV55" s="38">
        <f>L55</f>
        <v>0.00096</v>
      </c>
    </row>
    <row r="56" spans="4:6" ht="12.75">
      <c r="D56" s="66" t="s">
        <v>260</v>
      </c>
      <c r="F56" s="67">
        <v>4</v>
      </c>
    </row>
    <row r="57" spans="1:48" ht="12.75">
      <c r="A57" s="65" t="s">
        <v>129</v>
      </c>
      <c r="B57" s="65" t="s">
        <v>80</v>
      </c>
      <c r="C57" s="65" t="s">
        <v>203</v>
      </c>
      <c r="D57" s="65" t="s">
        <v>261</v>
      </c>
      <c r="E57" s="65" t="s">
        <v>304</v>
      </c>
      <c r="F57" s="69">
        <f>'Stavební rozpočet'!F61</f>
        <v>4</v>
      </c>
      <c r="G57" s="69">
        <v>0</v>
      </c>
      <c r="H57" s="69">
        <f>F57*AE57</f>
        <v>0</v>
      </c>
      <c r="I57" s="69">
        <f>J57-H57</f>
        <v>0</v>
      </c>
      <c r="J57" s="69">
        <f>F57*G57</f>
        <v>0</v>
      </c>
      <c r="K57" s="69">
        <f>'Stavební rozpočet'!K61</f>
        <v>0.0008</v>
      </c>
      <c r="L57" s="69">
        <f>F57*K57</f>
        <v>0.0032</v>
      </c>
      <c r="M57" s="68" t="s">
        <v>308</v>
      </c>
      <c r="P57" s="38">
        <f>IF(AG57="5",J57,0)</f>
        <v>0</v>
      </c>
      <c r="R57" s="38">
        <f>IF(AG57="1",H57,0)</f>
        <v>0</v>
      </c>
      <c r="S57" s="38">
        <f>IF(AG57="1",I57,0)</f>
        <v>0</v>
      </c>
      <c r="T57" s="38">
        <f>IF(AG57="7",H57,0)</f>
        <v>0</v>
      </c>
      <c r="U57" s="38">
        <f>IF(AG57="7",I57,0)</f>
        <v>0</v>
      </c>
      <c r="V57" s="38">
        <f>IF(AG57="2",H57,0)</f>
        <v>0</v>
      </c>
      <c r="W57" s="38">
        <f>IF(AG57="2",I57,0)</f>
        <v>0</v>
      </c>
      <c r="X57" s="38">
        <f>IF(AG57="0",J57,0)</f>
        <v>0</v>
      </c>
      <c r="Y57" s="57" t="s">
        <v>80</v>
      </c>
      <c r="Z57" s="69">
        <f>IF(AD57=0,J57,0)</f>
        <v>0</v>
      </c>
      <c r="AA57" s="69">
        <f>IF(AD57=15,J57,0)</f>
        <v>0</v>
      </c>
      <c r="AB57" s="69">
        <f>IF(AD57=21,J57,0)</f>
        <v>0</v>
      </c>
      <c r="AD57" s="38">
        <v>21</v>
      </c>
      <c r="AE57" s="38">
        <f>G57*1</f>
        <v>0</v>
      </c>
      <c r="AF57" s="38">
        <f>G57*(1-1)</f>
        <v>0</v>
      </c>
      <c r="AG57" s="68" t="s">
        <v>97</v>
      </c>
      <c r="AM57" s="38">
        <f>F57*AE57</f>
        <v>0</v>
      </c>
      <c r="AN57" s="38">
        <f>F57*AF57</f>
        <v>0</v>
      </c>
      <c r="AO57" s="61" t="s">
        <v>313</v>
      </c>
      <c r="AP57" s="61" t="s">
        <v>326</v>
      </c>
      <c r="AQ57" s="57" t="s">
        <v>332</v>
      </c>
      <c r="AS57" s="38">
        <f>AM57+AN57</f>
        <v>0</v>
      </c>
      <c r="AT57" s="38">
        <f>G57/(100-AU57)*100</f>
        <v>0</v>
      </c>
      <c r="AU57" s="38">
        <v>0</v>
      </c>
      <c r="AV57" s="38">
        <f>L57</f>
        <v>0.0032</v>
      </c>
    </row>
    <row r="58" spans="4:6" ht="12.75">
      <c r="D58" s="66" t="s">
        <v>161</v>
      </c>
      <c r="F58" s="67">
        <v>4</v>
      </c>
    </row>
    <row r="59" spans="1:37" ht="12.75">
      <c r="A59" s="45"/>
      <c r="B59" s="50" t="s">
        <v>80</v>
      </c>
      <c r="C59" s="50" t="s">
        <v>133</v>
      </c>
      <c r="D59" s="50" t="s">
        <v>148</v>
      </c>
      <c r="E59" s="45" t="s">
        <v>77</v>
      </c>
      <c r="F59" s="45" t="s">
        <v>77</v>
      </c>
      <c r="G59" s="45" t="s">
        <v>77</v>
      </c>
      <c r="H59" s="64">
        <f>SUM(H60:H60)</f>
        <v>0</v>
      </c>
      <c r="I59" s="64">
        <f>SUM(I60:I60)</f>
        <v>0</v>
      </c>
      <c r="J59" s="64">
        <f>H59+I59</f>
        <v>0</v>
      </c>
      <c r="K59" s="57"/>
      <c r="L59" s="64">
        <f>SUM(L60:L60)</f>
        <v>1.220096</v>
      </c>
      <c r="M59" s="57"/>
      <c r="Y59" s="57" t="s">
        <v>80</v>
      </c>
      <c r="AI59" s="64">
        <f>SUM(Z60:Z60)</f>
        <v>0</v>
      </c>
      <c r="AJ59" s="64">
        <f>SUM(AA60:AA60)</f>
        <v>0</v>
      </c>
      <c r="AK59" s="64">
        <f>SUM(AB60:AB60)</f>
        <v>0</v>
      </c>
    </row>
    <row r="60" spans="1:48" ht="12.75">
      <c r="A60" s="46" t="s">
        <v>171</v>
      </c>
      <c r="B60" s="46" t="s">
        <v>80</v>
      </c>
      <c r="C60" s="46" t="s">
        <v>204</v>
      </c>
      <c r="D60" s="46" t="s">
        <v>262</v>
      </c>
      <c r="E60" s="46" t="s">
        <v>303</v>
      </c>
      <c r="F60" s="62">
        <f>'Stavební rozpočet'!F64</f>
        <v>25.6</v>
      </c>
      <c r="G60" s="62">
        <v>0</v>
      </c>
      <c r="H60" s="62">
        <f>F60*AE60</f>
        <v>0</v>
      </c>
      <c r="I60" s="62">
        <f>J60-H60</f>
        <v>0</v>
      </c>
      <c r="J60" s="62">
        <f>F60*G60</f>
        <v>0</v>
      </c>
      <c r="K60" s="62">
        <f>'Stavební rozpočet'!K64</f>
        <v>0.04766</v>
      </c>
      <c r="L60" s="62">
        <f>F60*K60</f>
        <v>1.220096</v>
      </c>
      <c r="M60" s="60" t="s">
        <v>308</v>
      </c>
      <c r="P60" s="38">
        <f>IF(AG60="5",J60,0)</f>
        <v>0</v>
      </c>
      <c r="R60" s="38">
        <f>IF(AG60="1",H60,0)</f>
        <v>0</v>
      </c>
      <c r="S60" s="38">
        <f>IF(AG60="1",I60,0)</f>
        <v>0</v>
      </c>
      <c r="T60" s="38">
        <f>IF(AG60="7",H60,0)</f>
        <v>0</v>
      </c>
      <c r="U60" s="38">
        <f>IF(AG60="7",I60,0)</f>
        <v>0</v>
      </c>
      <c r="V60" s="38">
        <f>IF(AG60="2",H60,0)</f>
        <v>0</v>
      </c>
      <c r="W60" s="38">
        <f>IF(AG60="2",I60,0)</f>
        <v>0</v>
      </c>
      <c r="X60" s="38">
        <f>IF(AG60="0",J60,0)</f>
        <v>0</v>
      </c>
      <c r="Y60" s="57" t="s">
        <v>80</v>
      </c>
      <c r="Z60" s="62">
        <f>IF(AD60=0,J60,0)</f>
        <v>0</v>
      </c>
      <c r="AA60" s="62">
        <f>IF(AD60=15,J60,0)</f>
        <v>0</v>
      </c>
      <c r="AB60" s="62">
        <f>IF(AD60=21,J60,0)</f>
        <v>0</v>
      </c>
      <c r="AD60" s="38">
        <v>21</v>
      </c>
      <c r="AE60" s="38">
        <f>G60*0.140499219968799</f>
        <v>0</v>
      </c>
      <c r="AF60" s="38">
        <f>G60*(1-0.140499219968799)</f>
        <v>0</v>
      </c>
      <c r="AG60" s="60" t="s">
        <v>97</v>
      </c>
      <c r="AM60" s="38">
        <f>F60*AE60</f>
        <v>0</v>
      </c>
      <c r="AN60" s="38">
        <f>F60*AF60</f>
        <v>0</v>
      </c>
      <c r="AO60" s="61" t="s">
        <v>314</v>
      </c>
      <c r="AP60" s="61" t="s">
        <v>327</v>
      </c>
      <c r="AQ60" s="57" t="s">
        <v>332</v>
      </c>
      <c r="AS60" s="38">
        <f>AM60+AN60</f>
        <v>0</v>
      </c>
      <c r="AT60" s="38">
        <f>G60/(100-AU60)*100</f>
        <v>0</v>
      </c>
      <c r="AU60" s="38">
        <v>0</v>
      </c>
      <c r="AV60" s="38">
        <f>L60</f>
        <v>1.220096</v>
      </c>
    </row>
    <row r="61" spans="4:6" ht="12.75">
      <c r="D61" s="66" t="s">
        <v>263</v>
      </c>
      <c r="F61" s="67">
        <v>25.6</v>
      </c>
    </row>
    <row r="62" spans="1:37" ht="12.75">
      <c r="A62" s="45"/>
      <c r="B62" s="50" t="s">
        <v>80</v>
      </c>
      <c r="C62" s="50" t="s">
        <v>134</v>
      </c>
      <c r="D62" s="50" t="s">
        <v>149</v>
      </c>
      <c r="E62" s="45" t="s">
        <v>77</v>
      </c>
      <c r="F62" s="45" t="s">
        <v>77</v>
      </c>
      <c r="G62" s="45" t="s">
        <v>77</v>
      </c>
      <c r="H62" s="64">
        <f>SUM(H63:H63)</f>
        <v>0</v>
      </c>
      <c r="I62" s="64">
        <f>SUM(I63:I63)</f>
        <v>0</v>
      </c>
      <c r="J62" s="64">
        <f>H62+I62</f>
        <v>0</v>
      </c>
      <c r="K62" s="57"/>
      <c r="L62" s="64">
        <f>SUM(L63:L63)</f>
        <v>0.09264</v>
      </c>
      <c r="M62" s="57"/>
      <c r="Y62" s="57" t="s">
        <v>80</v>
      </c>
      <c r="AI62" s="64">
        <f>SUM(Z63:Z63)</f>
        <v>0</v>
      </c>
      <c r="AJ62" s="64">
        <f>SUM(AA63:AA63)</f>
        <v>0</v>
      </c>
      <c r="AK62" s="64">
        <f>SUM(AB63:AB63)</f>
        <v>0</v>
      </c>
    </row>
    <row r="63" spans="1:48" ht="12.75">
      <c r="A63" s="46" t="s">
        <v>172</v>
      </c>
      <c r="B63" s="46" t="s">
        <v>80</v>
      </c>
      <c r="C63" s="46" t="s">
        <v>205</v>
      </c>
      <c r="D63" s="46" t="s">
        <v>264</v>
      </c>
      <c r="E63" s="46" t="s">
        <v>304</v>
      </c>
      <c r="F63" s="62">
        <f>'Stavební rozpočet'!F67</f>
        <v>6</v>
      </c>
      <c r="G63" s="62">
        <v>0</v>
      </c>
      <c r="H63" s="62">
        <f>F63*AE63</f>
        <v>0</v>
      </c>
      <c r="I63" s="62">
        <f>J63-H63</f>
        <v>0</v>
      </c>
      <c r="J63" s="62">
        <f>F63*G63</f>
        <v>0</v>
      </c>
      <c r="K63" s="62">
        <f>'Stavební rozpočet'!K67</f>
        <v>0.01544</v>
      </c>
      <c r="L63" s="62">
        <f>F63*K63</f>
        <v>0.09264</v>
      </c>
      <c r="M63" s="60" t="s">
        <v>308</v>
      </c>
      <c r="P63" s="38">
        <f>IF(AG63="5",J63,0)</f>
        <v>0</v>
      </c>
      <c r="R63" s="38">
        <f>IF(AG63="1",H63,0)</f>
        <v>0</v>
      </c>
      <c r="S63" s="38">
        <f>IF(AG63="1",I63,0)</f>
        <v>0</v>
      </c>
      <c r="T63" s="38">
        <f>IF(AG63="7",H63,0)</f>
        <v>0</v>
      </c>
      <c r="U63" s="38">
        <f>IF(AG63="7",I63,0)</f>
        <v>0</v>
      </c>
      <c r="V63" s="38">
        <f>IF(AG63="2",H63,0)</f>
        <v>0</v>
      </c>
      <c r="W63" s="38">
        <f>IF(AG63="2",I63,0)</f>
        <v>0</v>
      </c>
      <c r="X63" s="38">
        <f>IF(AG63="0",J63,0)</f>
        <v>0</v>
      </c>
      <c r="Y63" s="57" t="s">
        <v>80</v>
      </c>
      <c r="Z63" s="62">
        <f>IF(AD63=0,J63,0)</f>
        <v>0</v>
      </c>
      <c r="AA63" s="62">
        <f>IF(AD63=15,J63,0)</f>
        <v>0</v>
      </c>
      <c r="AB63" s="62">
        <f>IF(AD63=21,J63,0)</f>
        <v>0</v>
      </c>
      <c r="AD63" s="38">
        <v>21</v>
      </c>
      <c r="AE63" s="38">
        <f>G63*0.535845295381574</f>
        <v>0</v>
      </c>
      <c r="AF63" s="38">
        <f>G63*(1-0.535845295381574)</f>
        <v>0</v>
      </c>
      <c r="AG63" s="60" t="s">
        <v>97</v>
      </c>
      <c r="AM63" s="38">
        <f>F63*AE63</f>
        <v>0</v>
      </c>
      <c r="AN63" s="38">
        <f>F63*AF63</f>
        <v>0</v>
      </c>
      <c r="AO63" s="61" t="s">
        <v>315</v>
      </c>
      <c r="AP63" s="61" t="s">
        <v>327</v>
      </c>
      <c r="AQ63" s="57" t="s">
        <v>332</v>
      </c>
      <c r="AS63" s="38">
        <f>AM63+AN63</f>
        <v>0</v>
      </c>
      <c r="AT63" s="38">
        <f>G63/(100-AU63)*100</f>
        <v>0</v>
      </c>
      <c r="AU63" s="38">
        <v>0</v>
      </c>
      <c r="AV63" s="38">
        <f>L63</f>
        <v>0.09264</v>
      </c>
    </row>
    <row r="64" spans="4:6" ht="12.75">
      <c r="D64" s="66" t="s">
        <v>265</v>
      </c>
      <c r="F64" s="67">
        <v>6</v>
      </c>
    </row>
    <row r="65" spans="1:37" ht="12.75">
      <c r="A65" s="45"/>
      <c r="B65" s="50" t="s">
        <v>80</v>
      </c>
      <c r="C65" s="50" t="s">
        <v>135</v>
      </c>
      <c r="D65" s="50" t="s">
        <v>150</v>
      </c>
      <c r="E65" s="45" t="s">
        <v>77</v>
      </c>
      <c r="F65" s="45" t="s">
        <v>77</v>
      </c>
      <c r="G65" s="45" t="s">
        <v>77</v>
      </c>
      <c r="H65" s="64">
        <f>SUM(H66:H68)</f>
        <v>0</v>
      </c>
      <c r="I65" s="64">
        <f>SUM(I66:I68)</f>
        <v>0</v>
      </c>
      <c r="J65" s="64">
        <f>H65+I65</f>
        <v>0</v>
      </c>
      <c r="K65" s="57"/>
      <c r="L65" s="64">
        <f>SUM(L66:L68)</f>
        <v>0.00016</v>
      </c>
      <c r="M65" s="57"/>
      <c r="Y65" s="57" t="s">
        <v>80</v>
      </c>
      <c r="AI65" s="64">
        <f>SUM(Z66:Z68)</f>
        <v>0</v>
      </c>
      <c r="AJ65" s="64">
        <f>SUM(AA66:AA68)</f>
        <v>0</v>
      </c>
      <c r="AK65" s="64">
        <f>SUM(AB66:AB68)</f>
        <v>0</v>
      </c>
    </row>
    <row r="66" spans="1:48" ht="12.75">
      <c r="A66" s="46" t="s">
        <v>173</v>
      </c>
      <c r="B66" s="46" t="s">
        <v>80</v>
      </c>
      <c r="C66" s="46" t="s">
        <v>206</v>
      </c>
      <c r="D66" s="46" t="s">
        <v>266</v>
      </c>
      <c r="E66" s="46" t="s">
        <v>304</v>
      </c>
      <c r="F66" s="62">
        <f>'Stavební rozpočet'!F70</f>
        <v>4</v>
      </c>
      <c r="G66" s="62">
        <v>0</v>
      </c>
      <c r="H66" s="62">
        <f>F66*AE66</f>
        <v>0</v>
      </c>
      <c r="I66" s="62">
        <f>J66-H66</f>
        <v>0</v>
      </c>
      <c r="J66" s="62">
        <f>F66*G66</f>
        <v>0</v>
      </c>
      <c r="K66" s="62">
        <f>'Stavební rozpočet'!K70</f>
        <v>0</v>
      </c>
      <c r="L66" s="62">
        <f>F66*K66</f>
        <v>0</v>
      </c>
      <c r="M66" s="60" t="s">
        <v>308</v>
      </c>
      <c r="P66" s="38">
        <f>IF(AG66="5",J66,0)</f>
        <v>0</v>
      </c>
      <c r="R66" s="38">
        <f>IF(AG66="1",H66,0)</f>
        <v>0</v>
      </c>
      <c r="S66" s="38">
        <f>IF(AG66="1",I66,0)</f>
        <v>0</v>
      </c>
      <c r="T66" s="38">
        <f>IF(AG66="7",H66,0)</f>
        <v>0</v>
      </c>
      <c r="U66" s="38">
        <f>IF(AG66="7",I66,0)</f>
        <v>0</v>
      </c>
      <c r="V66" s="38">
        <f>IF(AG66="2",H66,0)</f>
        <v>0</v>
      </c>
      <c r="W66" s="38">
        <f>IF(AG66="2",I66,0)</f>
        <v>0</v>
      </c>
      <c r="X66" s="38">
        <f>IF(AG66="0",J66,0)</f>
        <v>0</v>
      </c>
      <c r="Y66" s="57" t="s">
        <v>80</v>
      </c>
      <c r="Z66" s="62">
        <f>IF(AD66=0,J66,0)</f>
        <v>0</v>
      </c>
      <c r="AA66" s="62">
        <f>IF(AD66=15,J66,0)</f>
        <v>0</v>
      </c>
      <c r="AB66" s="62">
        <f>IF(AD66=21,J66,0)</f>
        <v>0</v>
      </c>
      <c r="AD66" s="38">
        <v>21</v>
      </c>
      <c r="AE66" s="38">
        <f>G66*0</f>
        <v>0</v>
      </c>
      <c r="AF66" s="38">
        <f>G66*(1-0)</f>
        <v>0</v>
      </c>
      <c r="AG66" s="60" t="s">
        <v>122</v>
      </c>
      <c r="AM66" s="38">
        <f>F66*AE66</f>
        <v>0</v>
      </c>
      <c r="AN66" s="38">
        <f>F66*AF66</f>
        <v>0</v>
      </c>
      <c r="AO66" s="61" t="s">
        <v>316</v>
      </c>
      <c r="AP66" s="61" t="s">
        <v>328</v>
      </c>
      <c r="AQ66" s="57" t="s">
        <v>332</v>
      </c>
      <c r="AS66" s="38">
        <f>AM66+AN66</f>
        <v>0</v>
      </c>
      <c r="AT66" s="38">
        <f>G66/(100-AU66)*100</f>
        <v>0</v>
      </c>
      <c r="AU66" s="38">
        <v>0</v>
      </c>
      <c r="AV66" s="38">
        <f>L66</f>
        <v>0</v>
      </c>
    </row>
    <row r="67" spans="4:6" ht="12.75">
      <c r="D67" s="66" t="s">
        <v>161</v>
      </c>
      <c r="F67" s="67">
        <v>4</v>
      </c>
    </row>
    <row r="68" spans="1:48" ht="12.75">
      <c r="A68" s="65" t="s">
        <v>174</v>
      </c>
      <c r="B68" s="65" t="s">
        <v>80</v>
      </c>
      <c r="C68" s="65" t="s">
        <v>207</v>
      </c>
      <c r="D68" s="65" t="s">
        <v>267</v>
      </c>
      <c r="E68" s="65" t="s">
        <v>304</v>
      </c>
      <c r="F68" s="69">
        <f>'Stavební rozpočet'!F72</f>
        <v>4</v>
      </c>
      <c r="G68" s="69">
        <v>0</v>
      </c>
      <c r="H68" s="69">
        <f>F68*AE68</f>
        <v>0</v>
      </c>
      <c r="I68" s="69">
        <f>J68-H68</f>
        <v>0</v>
      </c>
      <c r="J68" s="69">
        <f>F68*G68</f>
        <v>0</v>
      </c>
      <c r="K68" s="69">
        <f>'Stavební rozpočet'!K72</f>
        <v>4E-05</v>
      </c>
      <c r="L68" s="69">
        <f>F68*K68</f>
        <v>0.00016</v>
      </c>
      <c r="M68" s="68" t="s">
        <v>308</v>
      </c>
      <c r="P68" s="38">
        <f>IF(AG68="5",J68,0)</f>
        <v>0</v>
      </c>
      <c r="R68" s="38">
        <f>IF(AG68="1",H68,0)</f>
        <v>0</v>
      </c>
      <c r="S68" s="38">
        <f>IF(AG68="1",I68,0)</f>
        <v>0</v>
      </c>
      <c r="T68" s="38">
        <f>IF(AG68="7",H68,0)</f>
        <v>0</v>
      </c>
      <c r="U68" s="38">
        <f>IF(AG68="7",I68,0)</f>
        <v>0</v>
      </c>
      <c r="V68" s="38">
        <f>IF(AG68="2",H68,0)</f>
        <v>0</v>
      </c>
      <c r="W68" s="38">
        <f>IF(AG68="2",I68,0)</f>
        <v>0</v>
      </c>
      <c r="X68" s="38">
        <f>IF(AG68="0",J68,0)</f>
        <v>0</v>
      </c>
      <c r="Y68" s="57" t="s">
        <v>80</v>
      </c>
      <c r="Z68" s="69">
        <f>IF(AD68=0,J68,0)</f>
        <v>0</v>
      </c>
      <c r="AA68" s="69">
        <f>IF(AD68=15,J68,0)</f>
        <v>0</v>
      </c>
      <c r="AB68" s="69">
        <f>IF(AD68=21,J68,0)</f>
        <v>0</v>
      </c>
      <c r="AD68" s="38">
        <v>21</v>
      </c>
      <c r="AE68" s="38">
        <f>G68*1</f>
        <v>0</v>
      </c>
      <c r="AF68" s="38">
        <f>G68*(1-1)</f>
        <v>0</v>
      </c>
      <c r="AG68" s="68" t="s">
        <v>122</v>
      </c>
      <c r="AM68" s="38">
        <f>F68*AE68</f>
        <v>0</v>
      </c>
      <c r="AN68" s="38">
        <f>F68*AF68</f>
        <v>0</v>
      </c>
      <c r="AO68" s="61" t="s">
        <v>316</v>
      </c>
      <c r="AP68" s="61" t="s">
        <v>328</v>
      </c>
      <c r="AQ68" s="57" t="s">
        <v>332</v>
      </c>
      <c r="AS68" s="38">
        <f>AM68+AN68</f>
        <v>0</v>
      </c>
      <c r="AT68" s="38">
        <f>G68/(100-AU68)*100</f>
        <v>0</v>
      </c>
      <c r="AU68" s="38">
        <v>0</v>
      </c>
      <c r="AV68" s="38">
        <f>L68</f>
        <v>0.00016</v>
      </c>
    </row>
    <row r="69" spans="4:6" ht="12.75">
      <c r="D69" s="66" t="s">
        <v>161</v>
      </c>
      <c r="F69" s="67">
        <v>4</v>
      </c>
    </row>
    <row r="70" spans="1:37" ht="12.75">
      <c r="A70" s="45"/>
      <c r="B70" s="50" t="s">
        <v>80</v>
      </c>
      <c r="C70" s="50" t="s">
        <v>136</v>
      </c>
      <c r="D70" s="50" t="s">
        <v>151</v>
      </c>
      <c r="E70" s="45" t="s">
        <v>77</v>
      </c>
      <c r="F70" s="45" t="s">
        <v>77</v>
      </c>
      <c r="G70" s="45" t="s">
        <v>77</v>
      </c>
      <c r="H70" s="64">
        <f>SUM(H71:H71)</f>
        <v>0</v>
      </c>
      <c r="I70" s="64">
        <f>SUM(I71:I71)</f>
        <v>0</v>
      </c>
      <c r="J70" s="64">
        <f>H70+I70</f>
        <v>0</v>
      </c>
      <c r="K70" s="57"/>
      <c r="L70" s="64">
        <f>SUM(L71:L71)</f>
        <v>0.01394</v>
      </c>
      <c r="M70" s="57"/>
      <c r="Y70" s="57" t="s">
        <v>80</v>
      </c>
      <c r="AI70" s="64">
        <f>SUM(Z71:Z71)</f>
        <v>0</v>
      </c>
      <c r="AJ70" s="64">
        <f>SUM(AA71:AA71)</f>
        <v>0</v>
      </c>
      <c r="AK70" s="64">
        <f>SUM(AB71:AB71)</f>
        <v>0</v>
      </c>
    </row>
    <row r="71" spans="1:48" ht="12.75">
      <c r="A71" s="46" t="s">
        <v>175</v>
      </c>
      <c r="B71" s="46" t="s">
        <v>80</v>
      </c>
      <c r="C71" s="46" t="s">
        <v>208</v>
      </c>
      <c r="D71" s="46" t="s">
        <v>268</v>
      </c>
      <c r="E71" s="46" t="s">
        <v>305</v>
      </c>
      <c r="F71" s="62">
        <f>'Stavební rozpočet'!F75</f>
        <v>34</v>
      </c>
      <c r="G71" s="62">
        <v>0</v>
      </c>
      <c r="H71" s="62">
        <f>F71*AE71</f>
        <v>0</v>
      </c>
      <c r="I71" s="62">
        <f>J71-H71</f>
        <v>0</v>
      </c>
      <c r="J71" s="62">
        <f>F71*G71</f>
        <v>0</v>
      </c>
      <c r="K71" s="62">
        <f>'Stavební rozpočet'!K75</f>
        <v>0.00041</v>
      </c>
      <c r="L71" s="62">
        <f>F71*K71</f>
        <v>0.01394</v>
      </c>
      <c r="M71" s="60" t="s">
        <v>308</v>
      </c>
      <c r="P71" s="38">
        <f>IF(AG71="5",J71,0)</f>
        <v>0</v>
      </c>
      <c r="R71" s="38">
        <f>IF(AG71="1",H71,0)</f>
        <v>0</v>
      </c>
      <c r="S71" s="38">
        <f>IF(AG71="1",I71,0)</f>
        <v>0</v>
      </c>
      <c r="T71" s="38">
        <f>IF(AG71="7",H71,0)</f>
        <v>0</v>
      </c>
      <c r="U71" s="38">
        <f>IF(AG71="7",I71,0)</f>
        <v>0</v>
      </c>
      <c r="V71" s="38">
        <f>IF(AG71="2",H71,0)</f>
        <v>0</v>
      </c>
      <c r="W71" s="38">
        <f>IF(AG71="2",I71,0)</f>
        <v>0</v>
      </c>
      <c r="X71" s="38">
        <f>IF(AG71="0",J71,0)</f>
        <v>0</v>
      </c>
      <c r="Y71" s="57" t="s">
        <v>80</v>
      </c>
      <c r="Z71" s="62">
        <f>IF(AD71=0,J71,0)</f>
        <v>0</v>
      </c>
      <c r="AA71" s="62">
        <f>IF(AD71=15,J71,0)</f>
        <v>0</v>
      </c>
      <c r="AB71" s="62">
        <f>IF(AD71=21,J71,0)</f>
        <v>0</v>
      </c>
      <c r="AD71" s="38">
        <v>21</v>
      </c>
      <c r="AE71" s="38">
        <f>G71*0.333000997008973</f>
        <v>0</v>
      </c>
      <c r="AF71" s="38">
        <f>G71*(1-0.333000997008973)</f>
        <v>0</v>
      </c>
      <c r="AG71" s="60" t="s">
        <v>122</v>
      </c>
      <c r="AM71" s="38">
        <f>F71*AE71</f>
        <v>0</v>
      </c>
      <c r="AN71" s="38">
        <f>F71*AF71</f>
        <v>0</v>
      </c>
      <c r="AO71" s="61" t="s">
        <v>317</v>
      </c>
      <c r="AP71" s="61" t="s">
        <v>328</v>
      </c>
      <c r="AQ71" s="57" t="s">
        <v>332</v>
      </c>
      <c r="AS71" s="38">
        <f>AM71+AN71</f>
        <v>0</v>
      </c>
      <c r="AT71" s="38">
        <f>G71/(100-AU71)*100</f>
        <v>0</v>
      </c>
      <c r="AU71" s="38">
        <v>0</v>
      </c>
      <c r="AV71" s="38">
        <f>L71</f>
        <v>0.01394</v>
      </c>
    </row>
    <row r="72" spans="4:6" ht="12.75">
      <c r="D72" s="66" t="s">
        <v>269</v>
      </c>
      <c r="F72" s="67">
        <v>34</v>
      </c>
    </row>
    <row r="73" spans="1:37" ht="12.75">
      <c r="A73" s="45"/>
      <c r="B73" s="50" t="s">
        <v>80</v>
      </c>
      <c r="C73" s="50" t="s">
        <v>137</v>
      </c>
      <c r="D73" s="50" t="s">
        <v>152</v>
      </c>
      <c r="E73" s="45" t="s">
        <v>77</v>
      </c>
      <c r="F73" s="45" t="s">
        <v>77</v>
      </c>
      <c r="G73" s="45" t="s">
        <v>77</v>
      </c>
      <c r="H73" s="64">
        <f>SUM(H74:H80)</f>
        <v>0</v>
      </c>
      <c r="I73" s="64">
        <f>SUM(I74:I80)</f>
        <v>0</v>
      </c>
      <c r="J73" s="64">
        <f>H73+I73</f>
        <v>0</v>
      </c>
      <c r="K73" s="57"/>
      <c r="L73" s="64">
        <f>SUM(L74:L80)</f>
        <v>0.0762</v>
      </c>
      <c r="M73" s="57"/>
      <c r="Y73" s="57" t="s">
        <v>80</v>
      </c>
      <c r="AI73" s="64">
        <f>SUM(Z74:Z80)</f>
        <v>0</v>
      </c>
      <c r="AJ73" s="64">
        <f>SUM(AA74:AA80)</f>
        <v>0</v>
      </c>
      <c r="AK73" s="64">
        <f>SUM(AB74:AB80)</f>
        <v>0</v>
      </c>
    </row>
    <row r="74" spans="1:48" ht="12.75">
      <c r="A74" s="46" t="s">
        <v>176</v>
      </c>
      <c r="B74" s="46" t="s">
        <v>80</v>
      </c>
      <c r="C74" s="46" t="s">
        <v>209</v>
      </c>
      <c r="D74" s="46" t="s">
        <v>270</v>
      </c>
      <c r="E74" s="46" t="s">
        <v>304</v>
      </c>
      <c r="F74" s="62">
        <f>'Stavební rozpočet'!F78</f>
        <v>20</v>
      </c>
      <c r="G74" s="62">
        <v>0</v>
      </c>
      <c r="H74" s="62">
        <f>F74*AE74</f>
        <v>0</v>
      </c>
      <c r="I74" s="62">
        <f>J74-H74</f>
        <v>0</v>
      </c>
      <c r="J74" s="62">
        <f>F74*G74</f>
        <v>0</v>
      </c>
      <c r="K74" s="62">
        <f>'Stavební rozpočet'!K78</f>
        <v>1E-05</v>
      </c>
      <c r="L74" s="62">
        <f>F74*K74</f>
        <v>0.0002</v>
      </c>
      <c r="M74" s="60" t="s">
        <v>308</v>
      </c>
      <c r="P74" s="38">
        <f>IF(AG74="5",J74,0)</f>
        <v>0</v>
      </c>
      <c r="R74" s="38">
        <f>IF(AG74="1",H74,0)</f>
        <v>0</v>
      </c>
      <c r="S74" s="38">
        <f>IF(AG74="1",I74,0)</f>
        <v>0</v>
      </c>
      <c r="T74" s="38">
        <f>IF(AG74="7",H74,0)</f>
        <v>0</v>
      </c>
      <c r="U74" s="38">
        <f>IF(AG74="7",I74,0)</f>
        <v>0</v>
      </c>
      <c r="V74" s="38">
        <f>IF(AG74="2",H74,0)</f>
        <v>0</v>
      </c>
      <c r="W74" s="38">
        <f>IF(AG74="2",I74,0)</f>
        <v>0</v>
      </c>
      <c r="X74" s="38">
        <f>IF(AG74="0",J74,0)</f>
        <v>0</v>
      </c>
      <c r="Y74" s="57" t="s">
        <v>80</v>
      </c>
      <c r="Z74" s="62">
        <f>IF(AD74=0,J74,0)</f>
        <v>0</v>
      </c>
      <c r="AA74" s="62">
        <f>IF(AD74=15,J74,0)</f>
        <v>0</v>
      </c>
      <c r="AB74" s="62">
        <f>IF(AD74=21,J74,0)</f>
        <v>0</v>
      </c>
      <c r="AD74" s="38">
        <v>21</v>
      </c>
      <c r="AE74" s="38">
        <f>G74*0.02536</f>
        <v>0</v>
      </c>
      <c r="AF74" s="38">
        <f>G74*(1-0.02536)</f>
        <v>0</v>
      </c>
      <c r="AG74" s="60" t="s">
        <v>122</v>
      </c>
      <c r="AM74" s="38">
        <f>F74*AE74</f>
        <v>0</v>
      </c>
      <c r="AN74" s="38">
        <f>F74*AF74</f>
        <v>0</v>
      </c>
      <c r="AO74" s="61" t="s">
        <v>318</v>
      </c>
      <c r="AP74" s="61" t="s">
        <v>329</v>
      </c>
      <c r="AQ74" s="57" t="s">
        <v>332</v>
      </c>
      <c r="AS74" s="38">
        <f>AM74+AN74</f>
        <v>0</v>
      </c>
      <c r="AT74" s="38">
        <f>G74/(100-AU74)*100</f>
        <v>0</v>
      </c>
      <c r="AU74" s="38">
        <v>0</v>
      </c>
      <c r="AV74" s="38">
        <f>L74</f>
        <v>0.0002</v>
      </c>
    </row>
    <row r="75" spans="4:6" ht="12.75">
      <c r="D75" s="66" t="s">
        <v>271</v>
      </c>
      <c r="F75" s="67">
        <v>20</v>
      </c>
    </row>
    <row r="76" spans="1:48" ht="12.75">
      <c r="A76" s="65" t="s">
        <v>177</v>
      </c>
      <c r="B76" s="65" t="s">
        <v>80</v>
      </c>
      <c r="C76" s="65" t="s">
        <v>210</v>
      </c>
      <c r="D76" s="65" t="s">
        <v>272</v>
      </c>
      <c r="E76" s="65" t="s">
        <v>304</v>
      </c>
      <c r="F76" s="69">
        <f>'Stavební rozpočet'!F80</f>
        <v>20</v>
      </c>
      <c r="G76" s="69">
        <v>0</v>
      </c>
      <c r="H76" s="69">
        <f>F76*AE76</f>
        <v>0</v>
      </c>
      <c r="I76" s="69">
        <f>J76-H76</f>
        <v>0</v>
      </c>
      <c r="J76" s="69">
        <f>F76*G76</f>
        <v>0</v>
      </c>
      <c r="K76" s="69">
        <f>'Stavební rozpočet'!K80</f>
        <v>0.0003</v>
      </c>
      <c r="L76" s="69">
        <f>F76*K76</f>
        <v>0.005999999999999999</v>
      </c>
      <c r="M76" s="68" t="s">
        <v>308</v>
      </c>
      <c r="P76" s="38">
        <f>IF(AG76="5",J76,0)</f>
        <v>0</v>
      </c>
      <c r="R76" s="38">
        <f>IF(AG76="1",H76,0)</f>
        <v>0</v>
      </c>
      <c r="S76" s="38">
        <f>IF(AG76="1",I76,0)</f>
        <v>0</v>
      </c>
      <c r="T76" s="38">
        <f>IF(AG76="7",H76,0)</f>
        <v>0</v>
      </c>
      <c r="U76" s="38">
        <f>IF(AG76="7",I76,0)</f>
        <v>0</v>
      </c>
      <c r="V76" s="38">
        <f>IF(AG76="2",H76,0)</f>
        <v>0</v>
      </c>
      <c r="W76" s="38">
        <f>IF(AG76="2",I76,0)</f>
        <v>0</v>
      </c>
      <c r="X76" s="38">
        <f>IF(AG76="0",J76,0)</f>
        <v>0</v>
      </c>
      <c r="Y76" s="57" t="s">
        <v>80</v>
      </c>
      <c r="Z76" s="69">
        <f>IF(AD76=0,J76,0)</f>
        <v>0</v>
      </c>
      <c r="AA76" s="69">
        <f>IF(AD76=15,J76,0)</f>
        <v>0</v>
      </c>
      <c r="AB76" s="69">
        <f>IF(AD76=21,J76,0)</f>
        <v>0</v>
      </c>
      <c r="AD76" s="38">
        <v>21</v>
      </c>
      <c r="AE76" s="38">
        <f>G76*1</f>
        <v>0</v>
      </c>
      <c r="AF76" s="38">
        <f>G76*(1-1)</f>
        <v>0</v>
      </c>
      <c r="AG76" s="68" t="s">
        <v>122</v>
      </c>
      <c r="AM76" s="38">
        <f>F76*AE76</f>
        <v>0</v>
      </c>
      <c r="AN76" s="38">
        <f>F76*AF76</f>
        <v>0</v>
      </c>
      <c r="AO76" s="61" t="s">
        <v>318</v>
      </c>
      <c r="AP76" s="61" t="s">
        <v>329</v>
      </c>
      <c r="AQ76" s="57" t="s">
        <v>332</v>
      </c>
      <c r="AS76" s="38">
        <f>AM76+AN76</f>
        <v>0</v>
      </c>
      <c r="AT76" s="38">
        <f>G76/(100-AU76)*100</f>
        <v>0</v>
      </c>
      <c r="AU76" s="38">
        <v>0</v>
      </c>
      <c r="AV76" s="38">
        <f>L76</f>
        <v>0.005999999999999999</v>
      </c>
    </row>
    <row r="77" spans="4:6" ht="12.75">
      <c r="D77" s="66" t="s">
        <v>174</v>
      </c>
      <c r="F77" s="67">
        <v>20</v>
      </c>
    </row>
    <row r="78" spans="1:48" ht="12.75">
      <c r="A78" s="46" t="s">
        <v>178</v>
      </c>
      <c r="B78" s="46" t="s">
        <v>80</v>
      </c>
      <c r="C78" s="46" t="s">
        <v>211</v>
      </c>
      <c r="D78" s="46" t="s">
        <v>273</v>
      </c>
      <c r="E78" s="46" t="s">
        <v>304</v>
      </c>
      <c r="F78" s="62">
        <f>'Stavební rozpočet'!F82</f>
        <v>2</v>
      </c>
      <c r="G78" s="62">
        <v>0</v>
      </c>
      <c r="H78" s="62">
        <f>F78*AE78</f>
        <v>0</v>
      </c>
      <c r="I78" s="62">
        <f>J78-H78</f>
        <v>0</v>
      </c>
      <c r="J78" s="62">
        <f>F78*G78</f>
        <v>0</v>
      </c>
      <c r="K78" s="62">
        <f>'Stavební rozpočet'!K82</f>
        <v>0</v>
      </c>
      <c r="L78" s="62">
        <f>F78*K78</f>
        <v>0</v>
      </c>
      <c r="M78" s="60" t="s">
        <v>308</v>
      </c>
      <c r="P78" s="38">
        <f>IF(AG78="5",J78,0)</f>
        <v>0</v>
      </c>
      <c r="R78" s="38">
        <f>IF(AG78="1",H78,0)</f>
        <v>0</v>
      </c>
      <c r="S78" s="38">
        <f>IF(AG78="1",I78,0)</f>
        <v>0</v>
      </c>
      <c r="T78" s="38">
        <f>IF(AG78="7",H78,0)</f>
        <v>0</v>
      </c>
      <c r="U78" s="38">
        <f>IF(AG78="7",I78,0)</f>
        <v>0</v>
      </c>
      <c r="V78" s="38">
        <f>IF(AG78="2",H78,0)</f>
        <v>0</v>
      </c>
      <c r="W78" s="38">
        <f>IF(AG78="2",I78,0)</f>
        <v>0</v>
      </c>
      <c r="X78" s="38">
        <f>IF(AG78="0",J78,0)</f>
        <v>0</v>
      </c>
      <c r="Y78" s="57" t="s">
        <v>80</v>
      </c>
      <c r="Z78" s="62">
        <f>IF(AD78=0,J78,0)</f>
        <v>0</v>
      </c>
      <c r="AA78" s="62">
        <f>IF(AD78=15,J78,0)</f>
        <v>0</v>
      </c>
      <c r="AB78" s="62">
        <f>IF(AD78=21,J78,0)</f>
        <v>0</v>
      </c>
      <c r="AD78" s="38">
        <v>21</v>
      </c>
      <c r="AE78" s="38">
        <f>G78*0</f>
        <v>0</v>
      </c>
      <c r="AF78" s="38">
        <f>G78*(1-0)</f>
        <v>0</v>
      </c>
      <c r="AG78" s="60" t="s">
        <v>122</v>
      </c>
      <c r="AM78" s="38">
        <f>F78*AE78</f>
        <v>0</v>
      </c>
      <c r="AN78" s="38">
        <f>F78*AF78</f>
        <v>0</v>
      </c>
      <c r="AO78" s="61" t="s">
        <v>318</v>
      </c>
      <c r="AP78" s="61" t="s">
        <v>329</v>
      </c>
      <c r="AQ78" s="57" t="s">
        <v>332</v>
      </c>
      <c r="AS78" s="38">
        <f>AM78+AN78</f>
        <v>0</v>
      </c>
      <c r="AT78" s="38">
        <f>G78/(100-AU78)*100</f>
        <v>0</v>
      </c>
      <c r="AU78" s="38">
        <v>0</v>
      </c>
      <c r="AV78" s="38">
        <f>L78</f>
        <v>0</v>
      </c>
    </row>
    <row r="79" spans="4:6" ht="12.75">
      <c r="D79" s="66" t="s">
        <v>159</v>
      </c>
      <c r="F79" s="67">
        <v>2</v>
      </c>
    </row>
    <row r="80" spans="1:48" ht="12.75">
      <c r="A80" s="65" t="s">
        <v>179</v>
      </c>
      <c r="B80" s="65" t="s">
        <v>80</v>
      </c>
      <c r="C80" s="65" t="s">
        <v>212</v>
      </c>
      <c r="D80" s="65" t="s">
        <v>274</v>
      </c>
      <c r="E80" s="65" t="s">
        <v>304</v>
      </c>
      <c r="F80" s="69">
        <f>'Stavební rozpočet'!F84</f>
        <v>2</v>
      </c>
      <c r="G80" s="69">
        <v>0</v>
      </c>
      <c r="H80" s="69">
        <f>F80*AE80</f>
        <v>0</v>
      </c>
      <c r="I80" s="69">
        <f>J80-H80</f>
        <v>0</v>
      </c>
      <c r="J80" s="69">
        <f>F80*G80</f>
        <v>0</v>
      </c>
      <c r="K80" s="69">
        <f>'Stavební rozpočet'!K84</f>
        <v>0.035</v>
      </c>
      <c r="L80" s="69">
        <f>F80*K80</f>
        <v>0.07</v>
      </c>
      <c r="M80" s="68" t="s">
        <v>308</v>
      </c>
      <c r="P80" s="38">
        <f>IF(AG80="5",J80,0)</f>
        <v>0</v>
      </c>
      <c r="R80" s="38">
        <f>IF(AG80="1",H80,0)</f>
        <v>0</v>
      </c>
      <c r="S80" s="38">
        <f>IF(AG80="1",I80,0)</f>
        <v>0</v>
      </c>
      <c r="T80" s="38">
        <f>IF(AG80="7",H80,0)</f>
        <v>0</v>
      </c>
      <c r="U80" s="38">
        <f>IF(AG80="7",I80,0)</f>
        <v>0</v>
      </c>
      <c r="V80" s="38">
        <f>IF(AG80="2",H80,0)</f>
        <v>0</v>
      </c>
      <c r="W80" s="38">
        <f>IF(AG80="2",I80,0)</f>
        <v>0</v>
      </c>
      <c r="X80" s="38">
        <f>IF(AG80="0",J80,0)</f>
        <v>0</v>
      </c>
      <c r="Y80" s="57" t="s">
        <v>80</v>
      </c>
      <c r="Z80" s="69">
        <f>IF(AD80=0,J80,0)</f>
        <v>0</v>
      </c>
      <c r="AA80" s="69">
        <f>IF(AD80=15,J80,0)</f>
        <v>0</v>
      </c>
      <c r="AB80" s="69">
        <f>IF(AD80=21,J80,0)</f>
        <v>0</v>
      </c>
      <c r="AD80" s="38">
        <v>21</v>
      </c>
      <c r="AE80" s="38">
        <f>G80*1</f>
        <v>0</v>
      </c>
      <c r="AF80" s="38">
        <f>G80*(1-1)</f>
        <v>0</v>
      </c>
      <c r="AG80" s="68" t="s">
        <v>122</v>
      </c>
      <c r="AM80" s="38">
        <f>F80*AE80</f>
        <v>0</v>
      </c>
      <c r="AN80" s="38">
        <f>F80*AF80</f>
        <v>0</v>
      </c>
      <c r="AO80" s="61" t="s">
        <v>318</v>
      </c>
      <c r="AP80" s="61" t="s">
        <v>329</v>
      </c>
      <c r="AQ80" s="57" t="s">
        <v>332</v>
      </c>
      <c r="AS80" s="38">
        <f>AM80+AN80</f>
        <v>0</v>
      </c>
      <c r="AT80" s="38">
        <f>G80/(100-AU80)*100</f>
        <v>0</v>
      </c>
      <c r="AU80" s="38">
        <v>0</v>
      </c>
      <c r="AV80" s="38">
        <f>L80</f>
        <v>0.07</v>
      </c>
    </row>
    <row r="81" spans="4:6" ht="12.75">
      <c r="D81" s="66" t="s">
        <v>159</v>
      </c>
      <c r="F81" s="67">
        <v>2</v>
      </c>
    </row>
    <row r="82" spans="1:37" ht="12.75">
      <c r="A82" s="45"/>
      <c r="B82" s="50" t="s">
        <v>80</v>
      </c>
      <c r="C82" s="50" t="s">
        <v>138</v>
      </c>
      <c r="D82" s="50" t="s">
        <v>153</v>
      </c>
      <c r="E82" s="45" t="s">
        <v>77</v>
      </c>
      <c r="F82" s="45" t="s">
        <v>77</v>
      </c>
      <c r="G82" s="45" t="s">
        <v>77</v>
      </c>
      <c r="H82" s="64">
        <f>SUM(H83:H95)</f>
        <v>0</v>
      </c>
      <c r="I82" s="64">
        <f>SUM(I83:I95)</f>
        <v>0</v>
      </c>
      <c r="J82" s="64">
        <f>H82+I82</f>
        <v>0</v>
      </c>
      <c r="K82" s="57"/>
      <c r="L82" s="64">
        <f>SUM(L83:L95)</f>
        <v>1.8072</v>
      </c>
      <c r="M82" s="57"/>
      <c r="Y82" s="57" t="s">
        <v>80</v>
      </c>
      <c r="AI82" s="64">
        <f>SUM(Z83:Z95)</f>
        <v>0</v>
      </c>
      <c r="AJ82" s="64">
        <f>SUM(AA83:AA95)</f>
        <v>0</v>
      </c>
      <c r="AK82" s="64">
        <f>SUM(AB83:AB95)</f>
        <v>0</v>
      </c>
    </row>
    <row r="83" spans="1:48" ht="12.75">
      <c r="A83" s="46" t="s">
        <v>180</v>
      </c>
      <c r="B83" s="46" t="s">
        <v>80</v>
      </c>
      <c r="C83" s="46" t="s">
        <v>213</v>
      </c>
      <c r="D83" s="46" t="s">
        <v>275</v>
      </c>
      <c r="E83" s="46" t="s">
        <v>306</v>
      </c>
      <c r="F83" s="62">
        <f>'Stavební rozpočet'!F87</f>
        <v>748</v>
      </c>
      <c r="G83" s="62">
        <v>0</v>
      </c>
      <c r="H83" s="62">
        <f>F83*AE83</f>
        <v>0</v>
      </c>
      <c r="I83" s="62">
        <f>J83-H83</f>
        <v>0</v>
      </c>
      <c r="J83" s="62">
        <f>F83*G83</f>
        <v>0</v>
      </c>
      <c r="K83" s="62">
        <f>'Stavební rozpočet'!K87</f>
        <v>5E-05</v>
      </c>
      <c r="L83" s="62">
        <f>F83*K83</f>
        <v>0.0374</v>
      </c>
      <c r="M83" s="60" t="s">
        <v>308</v>
      </c>
      <c r="P83" s="38">
        <f>IF(AG83="5",J83,0)</f>
        <v>0</v>
      </c>
      <c r="R83" s="38">
        <f>IF(AG83="1",H83,0)</f>
        <v>0</v>
      </c>
      <c r="S83" s="38">
        <f>IF(AG83="1",I83,0)</f>
        <v>0</v>
      </c>
      <c r="T83" s="38">
        <f>IF(AG83="7",H83,0)</f>
        <v>0</v>
      </c>
      <c r="U83" s="38">
        <f>IF(AG83="7",I83,0)</f>
        <v>0</v>
      </c>
      <c r="V83" s="38">
        <f>IF(AG83="2",H83,0)</f>
        <v>0</v>
      </c>
      <c r="W83" s="38">
        <f>IF(AG83="2",I83,0)</f>
        <v>0</v>
      </c>
      <c r="X83" s="38">
        <f>IF(AG83="0",J83,0)</f>
        <v>0</v>
      </c>
      <c r="Y83" s="57" t="s">
        <v>80</v>
      </c>
      <c r="Z83" s="62">
        <f>IF(AD83=0,J83,0)</f>
        <v>0</v>
      </c>
      <c r="AA83" s="62">
        <f>IF(AD83=15,J83,0)</f>
        <v>0</v>
      </c>
      <c r="AB83" s="62">
        <f>IF(AD83=21,J83,0)</f>
        <v>0</v>
      </c>
      <c r="AD83" s="38">
        <v>21</v>
      </c>
      <c r="AE83" s="38">
        <f>G83*0.261934938741022</f>
        <v>0</v>
      </c>
      <c r="AF83" s="38">
        <f>G83*(1-0.261934938741022)</f>
        <v>0</v>
      </c>
      <c r="AG83" s="60" t="s">
        <v>122</v>
      </c>
      <c r="AM83" s="38">
        <f>F83*AE83</f>
        <v>0</v>
      </c>
      <c r="AN83" s="38">
        <f>F83*AF83</f>
        <v>0</v>
      </c>
      <c r="AO83" s="61" t="s">
        <v>319</v>
      </c>
      <c r="AP83" s="61" t="s">
        <v>329</v>
      </c>
      <c r="AQ83" s="57" t="s">
        <v>332</v>
      </c>
      <c r="AS83" s="38">
        <f>AM83+AN83</f>
        <v>0</v>
      </c>
      <c r="AT83" s="38">
        <f>G83/(100-AU83)*100</f>
        <v>0</v>
      </c>
      <c r="AU83" s="38">
        <v>0</v>
      </c>
      <c r="AV83" s="38">
        <f>L83</f>
        <v>0.0374</v>
      </c>
    </row>
    <row r="84" spans="4:6" ht="12.75">
      <c r="D84" s="66" t="s">
        <v>276</v>
      </c>
      <c r="F84" s="67">
        <v>476</v>
      </c>
    </row>
    <row r="85" spans="4:6" ht="12.75">
      <c r="D85" s="66" t="s">
        <v>277</v>
      </c>
      <c r="F85" s="67">
        <v>272</v>
      </c>
    </row>
    <row r="86" spans="1:48" ht="12.75">
      <c r="A86" s="65" t="s">
        <v>130</v>
      </c>
      <c r="B86" s="65" t="s">
        <v>80</v>
      </c>
      <c r="C86" s="65" t="s">
        <v>214</v>
      </c>
      <c r="D86" s="65" t="s">
        <v>278</v>
      </c>
      <c r="E86" s="65" t="s">
        <v>307</v>
      </c>
      <c r="F86" s="69">
        <f>'Stavební rozpočet'!F90</f>
        <v>0.76</v>
      </c>
      <c r="G86" s="69">
        <v>0</v>
      </c>
      <c r="H86" s="69">
        <f>F86*AE86</f>
        <v>0</v>
      </c>
      <c r="I86" s="69">
        <f>J86-H86</f>
        <v>0</v>
      </c>
      <c r="J86" s="69">
        <f>F86*G86</f>
        <v>0</v>
      </c>
      <c r="K86" s="69">
        <f>'Stavební rozpočet'!K90</f>
        <v>1</v>
      </c>
      <c r="L86" s="69">
        <f>F86*K86</f>
        <v>0.76</v>
      </c>
      <c r="M86" s="68" t="s">
        <v>308</v>
      </c>
      <c r="P86" s="38">
        <f>IF(AG86="5",J86,0)</f>
        <v>0</v>
      </c>
      <c r="R86" s="38">
        <f>IF(AG86="1",H86,0)</f>
        <v>0</v>
      </c>
      <c r="S86" s="38">
        <f>IF(AG86="1",I86,0)</f>
        <v>0</v>
      </c>
      <c r="T86" s="38">
        <f>IF(AG86="7",H86,0)</f>
        <v>0</v>
      </c>
      <c r="U86" s="38">
        <f>IF(AG86="7",I86,0)</f>
        <v>0</v>
      </c>
      <c r="V86" s="38">
        <f>IF(AG86="2",H86,0)</f>
        <v>0</v>
      </c>
      <c r="W86" s="38">
        <f>IF(AG86="2",I86,0)</f>
        <v>0</v>
      </c>
      <c r="X86" s="38">
        <f>IF(AG86="0",J86,0)</f>
        <v>0</v>
      </c>
      <c r="Y86" s="57" t="s">
        <v>80</v>
      </c>
      <c r="Z86" s="69">
        <f>IF(AD86=0,J86,0)</f>
        <v>0</v>
      </c>
      <c r="AA86" s="69">
        <f>IF(AD86=15,J86,0)</f>
        <v>0</v>
      </c>
      <c r="AB86" s="69">
        <f>IF(AD86=21,J86,0)</f>
        <v>0</v>
      </c>
      <c r="AD86" s="38">
        <v>21</v>
      </c>
      <c r="AE86" s="38">
        <f>G86*1</f>
        <v>0</v>
      </c>
      <c r="AF86" s="38">
        <f>G86*(1-1)</f>
        <v>0</v>
      </c>
      <c r="AG86" s="68" t="s">
        <v>122</v>
      </c>
      <c r="AM86" s="38">
        <f>F86*AE86</f>
        <v>0</v>
      </c>
      <c r="AN86" s="38">
        <f>F86*AF86</f>
        <v>0</v>
      </c>
      <c r="AO86" s="61" t="s">
        <v>319</v>
      </c>
      <c r="AP86" s="61" t="s">
        <v>329</v>
      </c>
      <c r="AQ86" s="57" t="s">
        <v>332</v>
      </c>
      <c r="AS86" s="38">
        <f>AM86+AN86</f>
        <v>0</v>
      </c>
      <c r="AT86" s="38">
        <f>G86/(100-AU86)*100</f>
        <v>0</v>
      </c>
      <c r="AU86" s="38">
        <v>0</v>
      </c>
      <c r="AV86" s="38">
        <f>L86</f>
        <v>0.76</v>
      </c>
    </row>
    <row r="87" spans="4:6" ht="12.75">
      <c r="D87" s="66" t="s">
        <v>279</v>
      </c>
      <c r="F87" s="67">
        <v>0.76</v>
      </c>
    </row>
    <row r="88" spans="1:48" ht="12.75">
      <c r="A88" s="46" t="s">
        <v>181</v>
      </c>
      <c r="B88" s="46" t="s">
        <v>80</v>
      </c>
      <c r="C88" s="46" t="s">
        <v>215</v>
      </c>
      <c r="D88" s="46" t="s">
        <v>280</v>
      </c>
      <c r="E88" s="46" t="s">
        <v>303</v>
      </c>
      <c r="F88" s="62">
        <f>'Stavební rozpočet'!F92</f>
        <v>21.53</v>
      </c>
      <c r="G88" s="62">
        <v>0</v>
      </c>
      <c r="H88" s="62">
        <f>F88*AE88</f>
        <v>0</v>
      </c>
      <c r="I88" s="62">
        <f>J88-H88</f>
        <v>0</v>
      </c>
      <c r="J88" s="62">
        <f>F88*G88</f>
        <v>0</v>
      </c>
      <c r="K88" s="62">
        <f>'Stavební rozpočet'!K92</f>
        <v>0</v>
      </c>
      <c r="L88" s="62">
        <f>F88*K88</f>
        <v>0</v>
      </c>
      <c r="M88" s="60" t="s">
        <v>308</v>
      </c>
      <c r="P88" s="38">
        <f>IF(AG88="5",J88,0)</f>
        <v>0</v>
      </c>
      <c r="R88" s="38">
        <f>IF(AG88="1",H88,0)</f>
        <v>0</v>
      </c>
      <c r="S88" s="38">
        <f>IF(AG88="1",I88,0)</f>
        <v>0</v>
      </c>
      <c r="T88" s="38">
        <f>IF(AG88="7",H88,0)</f>
        <v>0</v>
      </c>
      <c r="U88" s="38">
        <f>IF(AG88="7",I88,0)</f>
        <v>0</v>
      </c>
      <c r="V88" s="38">
        <f>IF(AG88="2",H88,0)</f>
        <v>0</v>
      </c>
      <c r="W88" s="38">
        <f>IF(AG88="2",I88,0)</f>
        <v>0</v>
      </c>
      <c r="X88" s="38">
        <f>IF(AG88="0",J88,0)</f>
        <v>0</v>
      </c>
      <c r="Y88" s="57" t="s">
        <v>80</v>
      </c>
      <c r="Z88" s="62">
        <f>IF(AD88=0,J88,0)</f>
        <v>0</v>
      </c>
      <c r="AA88" s="62">
        <f>IF(AD88=15,J88,0)</f>
        <v>0</v>
      </c>
      <c r="AB88" s="62">
        <f>IF(AD88=21,J88,0)</f>
        <v>0</v>
      </c>
      <c r="AD88" s="38">
        <v>21</v>
      </c>
      <c r="AE88" s="38">
        <f>G88*0</f>
        <v>0</v>
      </c>
      <c r="AF88" s="38">
        <f>G88*(1-0)</f>
        <v>0</v>
      </c>
      <c r="AG88" s="60" t="s">
        <v>122</v>
      </c>
      <c r="AM88" s="38">
        <f>F88*AE88</f>
        <v>0</v>
      </c>
      <c r="AN88" s="38">
        <f>F88*AF88</f>
        <v>0</v>
      </c>
      <c r="AO88" s="61" t="s">
        <v>319</v>
      </c>
      <c r="AP88" s="61" t="s">
        <v>329</v>
      </c>
      <c r="AQ88" s="57" t="s">
        <v>332</v>
      </c>
      <c r="AS88" s="38">
        <f>AM88+AN88</f>
        <v>0</v>
      </c>
      <c r="AT88" s="38">
        <f>G88/(100-AU88)*100</f>
        <v>0</v>
      </c>
      <c r="AU88" s="38">
        <v>0</v>
      </c>
      <c r="AV88" s="38">
        <f>L88</f>
        <v>0</v>
      </c>
    </row>
    <row r="89" spans="4:6" ht="12.75">
      <c r="D89" s="66" t="s">
        <v>281</v>
      </c>
      <c r="F89" s="67">
        <v>15.38</v>
      </c>
    </row>
    <row r="90" spans="4:6" ht="12.75">
      <c r="D90" s="66" t="s">
        <v>282</v>
      </c>
      <c r="F90" s="67">
        <v>6.15</v>
      </c>
    </row>
    <row r="91" spans="1:48" ht="12.75">
      <c r="A91" s="65" t="s">
        <v>182</v>
      </c>
      <c r="B91" s="65" t="s">
        <v>80</v>
      </c>
      <c r="C91" s="65" t="s">
        <v>216</v>
      </c>
      <c r="D91" s="65" t="s">
        <v>283</v>
      </c>
      <c r="E91" s="65" t="s">
        <v>303</v>
      </c>
      <c r="F91" s="69">
        <f>'Stavební rozpočet'!F95</f>
        <v>21</v>
      </c>
      <c r="G91" s="69">
        <v>0</v>
      </c>
      <c r="H91" s="69">
        <f>F91*AE91</f>
        <v>0</v>
      </c>
      <c r="I91" s="69">
        <f>J91-H91</f>
        <v>0</v>
      </c>
      <c r="J91" s="69">
        <f>F91*G91</f>
        <v>0</v>
      </c>
      <c r="K91" s="69">
        <f>'Stavební rozpočet'!K95</f>
        <v>0.04</v>
      </c>
      <c r="L91" s="69">
        <f>F91*K91</f>
        <v>0.84</v>
      </c>
      <c r="M91" s="68" t="s">
        <v>308</v>
      </c>
      <c r="P91" s="38">
        <f>IF(AG91="5",J91,0)</f>
        <v>0</v>
      </c>
      <c r="R91" s="38">
        <f>IF(AG91="1",H91,0)</f>
        <v>0</v>
      </c>
      <c r="S91" s="38">
        <f>IF(AG91="1",I91,0)</f>
        <v>0</v>
      </c>
      <c r="T91" s="38">
        <f>IF(AG91="7",H91,0)</f>
        <v>0</v>
      </c>
      <c r="U91" s="38">
        <f>IF(AG91="7",I91,0)</f>
        <v>0</v>
      </c>
      <c r="V91" s="38">
        <f>IF(AG91="2",H91,0)</f>
        <v>0</v>
      </c>
      <c r="W91" s="38">
        <f>IF(AG91="2",I91,0)</f>
        <v>0</v>
      </c>
      <c r="X91" s="38">
        <f>IF(AG91="0",J91,0)</f>
        <v>0</v>
      </c>
      <c r="Y91" s="57" t="s">
        <v>80</v>
      </c>
      <c r="Z91" s="69">
        <f>IF(AD91=0,J91,0)</f>
        <v>0</v>
      </c>
      <c r="AA91" s="69">
        <f>IF(AD91=15,J91,0)</f>
        <v>0</v>
      </c>
      <c r="AB91" s="69">
        <f>IF(AD91=21,J91,0)</f>
        <v>0</v>
      </c>
      <c r="AD91" s="38">
        <v>21</v>
      </c>
      <c r="AE91" s="38">
        <f>G91*1</f>
        <v>0</v>
      </c>
      <c r="AF91" s="38">
        <f>G91*(1-1)</f>
        <v>0</v>
      </c>
      <c r="AG91" s="68" t="s">
        <v>122</v>
      </c>
      <c r="AM91" s="38">
        <f>F91*AE91</f>
        <v>0</v>
      </c>
      <c r="AN91" s="38">
        <f>F91*AF91</f>
        <v>0</v>
      </c>
      <c r="AO91" s="61" t="s">
        <v>319</v>
      </c>
      <c r="AP91" s="61" t="s">
        <v>329</v>
      </c>
      <c r="AQ91" s="57" t="s">
        <v>332</v>
      </c>
      <c r="AS91" s="38">
        <f>AM91+AN91</f>
        <v>0</v>
      </c>
      <c r="AT91" s="38">
        <f>G91/(100-AU91)*100</f>
        <v>0</v>
      </c>
      <c r="AU91" s="38">
        <v>0</v>
      </c>
      <c r="AV91" s="38">
        <f>L91</f>
        <v>0.84</v>
      </c>
    </row>
    <row r="92" spans="4:6" ht="12.75">
      <c r="D92" s="66" t="s">
        <v>284</v>
      </c>
      <c r="F92" s="67">
        <v>21</v>
      </c>
    </row>
    <row r="93" spans="1:48" ht="12.75">
      <c r="A93" s="65" t="s">
        <v>183</v>
      </c>
      <c r="B93" s="65" t="s">
        <v>80</v>
      </c>
      <c r="C93" s="65" t="s">
        <v>217</v>
      </c>
      <c r="D93" s="65" t="s">
        <v>285</v>
      </c>
      <c r="E93" s="65" t="s">
        <v>304</v>
      </c>
      <c r="F93" s="69">
        <f>'Stavební rozpočet'!F97</f>
        <v>7</v>
      </c>
      <c r="G93" s="69">
        <v>0</v>
      </c>
      <c r="H93" s="69">
        <f>F93*AE93</f>
        <v>0</v>
      </c>
      <c r="I93" s="69">
        <f>J93-H93</f>
        <v>0</v>
      </c>
      <c r="J93" s="69">
        <f>F93*G93</f>
        <v>0</v>
      </c>
      <c r="K93" s="69">
        <f>'Stavební rozpočet'!K97</f>
        <v>0.001</v>
      </c>
      <c r="L93" s="69">
        <f>F93*K93</f>
        <v>0.007</v>
      </c>
      <c r="M93" s="68" t="s">
        <v>308</v>
      </c>
      <c r="P93" s="38">
        <f>IF(AG93="5",J93,0)</f>
        <v>0</v>
      </c>
      <c r="R93" s="38">
        <f>IF(AG93="1",H93,0)</f>
        <v>0</v>
      </c>
      <c r="S93" s="38">
        <f>IF(AG93="1",I93,0)</f>
        <v>0</v>
      </c>
      <c r="T93" s="38">
        <f>IF(AG93="7",H93,0)</f>
        <v>0</v>
      </c>
      <c r="U93" s="38">
        <f>IF(AG93="7",I93,0)</f>
        <v>0</v>
      </c>
      <c r="V93" s="38">
        <f>IF(AG93="2",H93,0)</f>
        <v>0</v>
      </c>
      <c r="W93" s="38">
        <f>IF(AG93="2",I93,0)</f>
        <v>0</v>
      </c>
      <c r="X93" s="38">
        <f>IF(AG93="0",J93,0)</f>
        <v>0</v>
      </c>
      <c r="Y93" s="57" t="s">
        <v>80</v>
      </c>
      <c r="Z93" s="69">
        <f>IF(AD93=0,J93,0)</f>
        <v>0</v>
      </c>
      <c r="AA93" s="69">
        <f>IF(AD93=15,J93,0)</f>
        <v>0</v>
      </c>
      <c r="AB93" s="69">
        <f>IF(AD93=21,J93,0)</f>
        <v>0</v>
      </c>
      <c r="AD93" s="38">
        <v>21</v>
      </c>
      <c r="AE93" s="38">
        <f>G93*1</f>
        <v>0</v>
      </c>
      <c r="AF93" s="38">
        <f>G93*(1-1)</f>
        <v>0</v>
      </c>
      <c r="AG93" s="68" t="s">
        <v>122</v>
      </c>
      <c r="AM93" s="38">
        <f>F93*AE93</f>
        <v>0</v>
      </c>
      <c r="AN93" s="38">
        <f>F93*AF93</f>
        <v>0</v>
      </c>
      <c r="AO93" s="61" t="s">
        <v>319</v>
      </c>
      <c r="AP93" s="61" t="s">
        <v>329</v>
      </c>
      <c r="AQ93" s="57" t="s">
        <v>332</v>
      </c>
      <c r="AS93" s="38">
        <f>AM93+AN93</f>
        <v>0</v>
      </c>
      <c r="AT93" s="38">
        <f>G93/(100-AU93)*100</f>
        <v>0</v>
      </c>
      <c r="AU93" s="38">
        <v>0</v>
      </c>
      <c r="AV93" s="38">
        <f>L93</f>
        <v>0.007</v>
      </c>
    </row>
    <row r="94" spans="4:6" ht="12.75">
      <c r="D94" s="66" t="s">
        <v>122</v>
      </c>
      <c r="F94" s="67">
        <v>7</v>
      </c>
    </row>
    <row r="95" spans="1:48" ht="12.75">
      <c r="A95" s="65" t="s">
        <v>131</v>
      </c>
      <c r="B95" s="65" t="s">
        <v>80</v>
      </c>
      <c r="C95" s="65" t="s">
        <v>218</v>
      </c>
      <c r="D95" s="65" t="s">
        <v>286</v>
      </c>
      <c r="E95" s="65" t="s">
        <v>305</v>
      </c>
      <c r="F95" s="69">
        <f>'Stavební rozpočet'!F99</f>
        <v>14.8</v>
      </c>
      <c r="G95" s="69">
        <v>0</v>
      </c>
      <c r="H95" s="69">
        <f>F95*AE95</f>
        <v>0</v>
      </c>
      <c r="I95" s="69">
        <f>J95-H95</f>
        <v>0</v>
      </c>
      <c r="J95" s="69">
        <f>F95*G95</f>
        <v>0</v>
      </c>
      <c r="K95" s="69">
        <f>'Stavební rozpočet'!K99</f>
        <v>0.011</v>
      </c>
      <c r="L95" s="69">
        <f>F95*K95</f>
        <v>0.1628</v>
      </c>
      <c r="M95" s="68" t="s">
        <v>308</v>
      </c>
      <c r="P95" s="38">
        <f>IF(AG95="5",J95,0)</f>
        <v>0</v>
      </c>
      <c r="R95" s="38">
        <f>IF(AG95="1",H95,0)</f>
        <v>0</v>
      </c>
      <c r="S95" s="38">
        <f>IF(AG95="1",I95,0)</f>
        <v>0</v>
      </c>
      <c r="T95" s="38">
        <f>IF(AG95="7",H95,0)</f>
        <v>0</v>
      </c>
      <c r="U95" s="38">
        <f>IF(AG95="7",I95,0)</f>
        <v>0</v>
      </c>
      <c r="V95" s="38">
        <f>IF(AG95="2",H95,0)</f>
        <v>0</v>
      </c>
      <c r="W95" s="38">
        <f>IF(AG95="2",I95,0)</f>
        <v>0</v>
      </c>
      <c r="X95" s="38">
        <f>IF(AG95="0",J95,0)</f>
        <v>0</v>
      </c>
      <c r="Y95" s="57" t="s">
        <v>80</v>
      </c>
      <c r="Z95" s="69">
        <f>IF(AD95=0,J95,0)</f>
        <v>0</v>
      </c>
      <c r="AA95" s="69">
        <f>IF(AD95=15,J95,0)</f>
        <v>0</v>
      </c>
      <c r="AB95" s="69">
        <f>IF(AD95=21,J95,0)</f>
        <v>0</v>
      </c>
      <c r="AD95" s="38">
        <v>21</v>
      </c>
      <c r="AE95" s="38">
        <f>G95*1</f>
        <v>0</v>
      </c>
      <c r="AF95" s="38">
        <f>G95*(1-1)</f>
        <v>0</v>
      </c>
      <c r="AG95" s="68" t="s">
        <v>122</v>
      </c>
      <c r="AM95" s="38">
        <f>F95*AE95</f>
        <v>0</v>
      </c>
      <c r="AN95" s="38">
        <f>F95*AF95</f>
        <v>0</v>
      </c>
      <c r="AO95" s="61" t="s">
        <v>319</v>
      </c>
      <c r="AP95" s="61" t="s">
        <v>329</v>
      </c>
      <c r="AQ95" s="57" t="s">
        <v>332</v>
      </c>
      <c r="AS95" s="38">
        <f>AM95+AN95</f>
        <v>0</v>
      </c>
      <c r="AT95" s="38">
        <f>G95/(100-AU95)*100</f>
        <v>0</v>
      </c>
      <c r="AU95" s="38">
        <v>0</v>
      </c>
      <c r="AV95" s="38">
        <f>L95</f>
        <v>0.1628</v>
      </c>
    </row>
    <row r="96" spans="4:6" ht="12.75">
      <c r="D96" s="66" t="s">
        <v>287</v>
      </c>
      <c r="F96" s="67">
        <v>10.4</v>
      </c>
    </row>
    <row r="97" spans="4:6" ht="12.75">
      <c r="D97" s="66" t="s">
        <v>288</v>
      </c>
      <c r="F97" s="67">
        <v>4.4</v>
      </c>
    </row>
    <row r="98" spans="1:37" ht="12.75">
      <c r="A98" s="45"/>
      <c r="B98" s="50" t="s">
        <v>80</v>
      </c>
      <c r="C98" s="50" t="s">
        <v>139</v>
      </c>
      <c r="D98" s="50" t="s">
        <v>154</v>
      </c>
      <c r="E98" s="45" t="s">
        <v>77</v>
      </c>
      <c r="F98" s="45" t="s">
        <v>77</v>
      </c>
      <c r="G98" s="45" t="s">
        <v>77</v>
      </c>
      <c r="H98" s="64">
        <f>SUM(H99:H101)</f>
        <v>0</v>
      </c>
      <c r="I98" s="64">
        <f>SUM(I99:I101)</f>
        <v>0</v>
      </c>
      <c r="J98" s="64">
        <f>H98+I98</f>
        <v>0</v>
      </c>
      <c r="K98" s="57"/>
      <c r="L98" s="64">
        <f>SUM(L99:L101)</f>
        <v>0.0489</v>
      </c>
      <c r="M98" s="57"/>
      <c r="Y98" s="57" t="s">
        <v>80</v>
      </c>
      <c r="AI98" s="64">
        <f>SUM(Z99:Z101)</f>
        <v>0</v>
      </c>
      <c r="AJ98" s="64">
        <f>SUM(AA99:AA101)</f>
        <v>0</v>
      </c>
      <c r="AK98" s="64">
        <f>SUM(AB99:AB101)</f>
        <v>0</v>
      </c>
    </row>
    <row r="99" spans="1:48" ht="12.75">
      <c r="A99" s="46" t="s">
        <v>184</v>
      </c>
      <c r="B99" s="46" t="s">
        <v>80</v>
      </c>
      <c r="C99" s="46" t="s">
        <v>219</v>
      </c>
      <c r="D99" s="46" t="s">
        <v>289</v>
      </c>
      <c r="E99" s="46" t="s">
        <v>303</v>
      </c>
      <c r="F99" s="62">
        <f>'Stavební rozpočet'!F103</f>
        <v>55</v>
      </c>
      <c r="G99" s="62">
        <v>0</v>
      </c>
      <c r="H99" s="62">
        <f>F99*AE99</f>
        <v>0</v>
      </c>
      <c r="I99" s="62">
        <f>J99-H99</f>
        <v>0</v>
      </c>
      <c r="J99" s="62">
        <f>F99*G99</f>
        <v>0</v>
      </c>
      <c r="K99" s="62">
        <f>'Stavební rozpočet'!K103</f>
        <v>0.00048</v>
      </c>
      <c r="L99" s="62">
        <f>F99*K99</f>
        <v>0.0264</v>
      </c>
      <c r="M99" s="60" t="s">
        <v>308</v>
      </c>
      <c r="P99" s="38">
        <f>IF(AG99="5",J99,0)</f>
        <v>0</v>
      </c>
      <c r="R99" s="38">
        <f>IF(AG99="1",H99,0)</f>
        <v>0</v>
      </c>
      <c r="S99" s="38">
        <f>IF(AG99="1",I99,0)</f>
        <v>0</v>
      </c>
      <c r="T99" s="38">
        <f>IF(AG99="7",H99,0)</f>
        <v>0</v>
      </c>
      <c r="U99" s="38">
        <f>IF(AG99="7",I99,0)</f>
        <v>0</v>
      </c>
      <c r="V99" s="38">
        <f>IF(AG99="2",H99,0)</f>
        <v>0</v>
      </c>
      <c r="W99" s="38">
        <f>IF(AG99="2",I99,0)</f>
        <v>0</v>
      </c>
      <c r="X99" s="38">
        <f>IF(AG99="0",J99,0)</f>
        <v>0</v>
      </c>
      <c r="Y99" s="57" t="s">
        <v>80</v>
      </c>
      <c r="Z99" s="62">
        <f>IF(AD99=0,J99,0)</f>
        <v>0</v>
      </c>
      <c r="AA99" s="62">
        <f>IF(AD99=15,J99,0)</f>
        <v>0</v>
      </c>
      <c r="AB99" s="62">
        <f>IF(AD99=21,J99,0)</f>
        <v>0</v>
      </c>
      <c r="AD99" s="38">
        <v>21</v>
      </c>
      <c r="AE99" s="38">
        <f>G99*0.256818181818182</f>
        <v>0</v>
      </c>
      <c r="AF99" s="38">
        <f>G99*(1-0.256818181818182)</f>
        <v>0</v>
      </c>
      <c r="AG99" s="60" t="s">
        <v>122</v>
      </c>
      <c r="AM99" s="38">
        <f>F99*AE99</f>
        <v>0</v>
      </c>
      <c r="AN99" s="38">
        <f>F99*AF99</f>
        <v>0</v>
      </c>
      <c r="AO99" s="61" t="s">
        <v>320</v>
      </c>
      <c r="AP99" s="61" t="s">
        <v>330</v>
      </c>
      <c r="AQ99" s="57" t="s">
        <v>332</v>
      </c>
      <c r="AS99" s="38">
        <f>AM99+AN99</f>
        <v>0</v>
      </c>
      <c r="AT99" s="38">
        <f>G99/(100-AU99)*100</f>
        <v>0</v>
      </c>
      <c r="AU99" s="38">
        <v>0</v>
      </c>
      <c r="AV99" s="38">
        <f>L99</f>
        <v>0.0264</v>
      </c>
    </row>
    <row r="100" spans="4:6" ht="12.75">
      <c r="D100" s="66" t="s">
        <v>290</v>
      </c>
      <c r="F100" s="67">
        <v>55</v>
      </c>
    </row>
    <row r="101" spans="1:48" ht="12.75">
      <c r="A101" s="46" t="s">
        <v>185</v>
      </c>
      <c r="B101" s="46" t="s">
        <v>80</v>
      </c>
      <c r="C101" s="46" t="s">
        <v>220</v>
      </c>
      <c r="D101" s="46" t="s">
        <v>291</v>
      </c>
      <c r="E101" s="46" t="s">
        <v>303</v>
      </c>
      <c r="F101" s="62">
        <f>'Stavební rozpočet'!F105</f>
        <v>75</v>
      </c>
      <c r="G101" s="62">
        <v>0</v>
      </c>
      <c r="H101" s="62">
        <f>F101*AE101</f>
        <v>0</v>
      </c>
      <c r="I101" s="62">
        <f>J101-H101</f>
        <v>0</v>
      </c>
      <c r="J101" s="62">
        <f>F101*G101</f>
        <v>0</v>
      </c>
      <c r="K101" s="62">
        <f>'Stavební rozpočet'!K105</f>
        <v>0.0003</v>
      </c>
      <c r="L101" s="62">
        <f>F101*K101</f>
        <v>0.0225</v>
      </c>
      <c r="M101" s="60" t="s">
        <v>308</v>
      </c>
      <c r="P101" s="38">
        <f>IF(AG101="5",J101,0)</f>
        <v>0</v>
      </c>
      <c r="R101" s="38">
        <f>IF(AG101="1",H101,0)</f>
        <v>0</v>
      </c>
      <c r="S101" s="38">
        <f>IF(AG101="1",I101,0)</f>
        <v>0</v>
      </c>
      <c r="T101" s="38">
        <f>IF(AG101="7",H101,0)</f>
        <v>0</v>
      </c>
      <c r="U101" s="38">
        <f>IF(AG101="7",I101,0)</f>
        <v>0</v>
      </c>
      <c r="V101" s="38">
        <f>IF(AG101="2",H101,0)</f>
        <v>0</v>
      </c>
      <c r="W101" s="38">
        <f>IF(AG101="2",I101,0)</f>
        <v>0</v>
      </c>
      <c r="X101" s="38">
        <f>IF(AG101="0",J101,0)</f>
        <v>0</v>
      </c>
      <c r="Y101" s="57" t="s">
        <v>80</v>
      </c>
      <c r="Z101" s="62">
        <f>IF(AD101=0,J101,0)</f>
        <v>0</v>
      </c>
      <c r="AA101" s="62">
        <f>IF(AD101=15,J101,0)</f>
        <v>0</v>
      </c>
      <c r="AB101" s="62">
        <f>IF(AD101=21,J101,0)</f>
        <v>0</v>
      </c>
      <c r="AD101" s="38">
        <v>21</v>
      </c>
      <c r="AE101" s="38">
        <f>G101*0.140594955321796</f>
        <v>0</v>
      </c>
      <c r="AF101" s="38">
        <f>G101*(1-0.140594955321796)</f>
        <v>0</v>
      </c>
      <c r="AG101" s="60" t="s">
        <v>122</v>
      </c>
      <c r="AM101" s="38">
        <f>F101*AE101</f>
        <v>0</v>
      </c>
      <c r="AN101" s="38">
        <f>F101*AF101</f>
        <v>0</v>
      </c>
      <c r="AO101" s="61" t="s">
        <v>320</v>
      </c>
      <c r="AP101" s="61" t="s">
        <v>330</v>
      </c>
      <c r="AQ101" s="57" t="s">
        <v>332</v>
      </c>
      <c r="AS101" s="38">
        <f>AM101+AN101</f>
        <v>0</v>
      </c>
      <c r="AT101" s="38">
        <f>G101/(100-AU101)*100</f>
        <v>0</v>
      </c>
      <c r="AU101" s="38">
        <v>0</v>
      </c>
      <c r="AV101" s="38">
        <f>L101</f>
        <v>0.0225</v>
      </c>
    </row>
    <row r="102" spans="4:6" ht="12.75">
      <c r="D102" s="66" t="s">
        <v>292</v>
      </c>
      <c r="F102" s="67">
        <v>75</v>
      </c>
    </row>
    <row r="103" spans="1:37" ht="12.75">
      <c r="A103" s="45"/>
      <c r="B103" s="50" t="s">
        <v>80</v>
      </c>
      <c r="C103" s="50" t="s">
        <v>140</v>
      </c>
      <c r="D103" s="50" t="s">
        <v>155</v>
      </c>
      <c r="E103" s="45" t="s">
        <v>77</v>
      </c>
      <c r="F103" s="45" t="s">
        <v>77</v>
      </c>
      <c r="G103" s="45" t="s">
        <v>77</v>
      </c>
      <c r="H103" s="64">
        <f>SUM(H104:H106)</f>
        <v>0</v>
      </c>
      <c r="I103" s="64">
        <f>SUM(I104:I106)</f>
        <v>0</v>
      </c>
      <c r="J103" s="64">
        <f>H103+I103</f>
        <v>0</v>
      </c>
      <c r="K103" s="57"/>
      <c r="L103" s="64">
        <f>SUM(L104:L106)</f>
        <v>6.0398374</v>
      </c>
      <c r="M103" s="57"/>
      <c r="Y103" s="57" t="s">
        <v>80</v>
      </c>
      <c r="AI103" s="64">
        <f>SUM(Z104:Z106)</f>
        <v>0</v>
      </c>
      <c r="AJ103" s="64">
        <f>SUM(AA104:AA106)</f>
        <v>0</v>
      </c>
      <c r="AK103" s="64">
        <f>SUM(AB104:AB106)</f>
        <v>0</v>
      </c>
    </row>
    <row r="104" spans="1:48" ht="12.75">
      <c r="A104" s="46" t="s">
        <v>132</v>
      </c>
      <c r="B104" s="46" t="s">
        <v>80</v>
      </c>
      <c r="C104" s="46" t="s">
        <v>221</v>
      </c>
      <c r="D104" s="46" t="s">
        <v>293</v>
      </c>
      <c r="E104" s="46" t="s">
        <v>303</v>
      </c>
      <c r="F104" s="62">
        <f>'Stavební rozpočet'!F108</f>
        <v>5</v>
      </c>
      <c r="G104" s="62">
        <v>0</v>
      </c>
      <c r="H104" s="62">
        <f>F104*AE104</f>
        <v>0</v>
      </c>
      <c r="I104" s="62">
        <f>J104-H104</f>
        <v>0</v>
      </c>
      <c r="J104" s="62">
        <f>F104*G104</f>
        <v>0</v>
      </c>
      <c r="K104" s="62">
        <f>'Stavební rozpočet'!K108</f>
        <v>0.10165</v>
      </c>
      <c r="L104" s="62">
        <f>F104*K104</f>
        <v>0.50825</v>
      </c>
      <c r="M104" s="60" t="s">
        <v>308</v>
      </c>
      <c r="P104" s="38">
        <f>IF(AG104="5",J104,0)</f>
        <v>0</v>
      </c>
      <c r="R104" s="38">
        <f>IF(AG104="1",H104,0)</f>
        <v>0</v>
      </c>
      <c r="S104" s="38">
        <f>IF(AG104="1",I104,0)</f>
        <v>0</v>
      </c>
      <c r="T104" s="38">
        <f>IF(AG104="7",H104,0)</f>
        <v>0</v>
      </c>
      <c r="U104" s="38">
        <f>IF(AG104="7",I104,0)</f>
        <v>0</v>
      </c>
      <c r="V104" s="38">
        <f>IF(AG104="2",H104,0)</f>
        <v>0</v>
      </c>
      <c r="W104" s="38">
        <f>IF(AG104="2",I104,0)</f>
        <v>0</v>
      </c>
      <c r="X104" s="38">
        <f>IF(AG104="0",J104,0)</f>
        <v>0</v>
      </c>
      <c r="Y104" s="57" t="s">
        <v>80</v>
      </c>
      <c r="Z104" s="62">
        <f>IF(AD104=0,J104,0)</f>
        <v>0</v>
      </c>
      <c r="AA104" s="62">
        <f>IF(AD104=15,J104,0)</f>
        <v>0</v>
      </c>
      <c r="AB104" s="62">
        <f>IF(AD104=21,J104,0)</f>
        <v>0</v>
      </c>
      <c r="AD104" s="38">
        <v>21</v>
      </c>
      <c r="AE104" s="38">
        <f>G104*0.230733137829912</f>
        <v>0</v>
      </c>
      <c r="AF104" s="38">
        <f>G104*(1-0.230733137829912)</f>
        <v>0</v>
      </c>
      <c r="AG104" s="60" t="s">
        <v>97</v>
      </c>
      <c r="AM104" s="38">
        <f>F104*AE104</f>
        <v>0</v>
      </c>
      <c r="AN104" s="38">
        <f>F104*AF104</f>
        <v>0</v>
      </c>
      <c r="AO104" s="61" t="s">
        <v>321</v>
      </c>
      <c r="AP104" s="61" t="s">
        <v>331</v>
      </c>
      <c r="AQ104" s="57" t="s">
        <v>332</v>
      </c>
      <c r="AS104" s="38">
        <f>AM104+AN104</f>
        <v>0</v>
      </c>
      <c r="AT104" s="38">
        <f>G104/(100-AU104)*100</f>
        <v>0</v>
      </c>
      <c r="AU104" s="38">
        <v>0</v>
      </c>
      <c r="AV104" s="38">
        <f>L104</f>
        <v>0.50825</v>
      </c>
    </row>
    <row r="105" spans="4:6" ht="12.75">
      <c r="D105" s="66" t="s">
        <v>294</v>
      </c>
      <c r="F105" s="67">
        <v>5</v>
      </c>
    </row>
    <row r="106" spans="1:48" ht="12.75">
      <c r="A106" s="46" t="s">
        <v>186</v>
      </c>
      <c r="B106" s="46" t="s">
        <v>80</v>
      </c>
      <c r="C106" s="46" t="s">
        <v>222</v>
      </c>
      <c r="D106" s="46" t="s">
        <v>295</v>
      </c>
      <c r="E106" s="46" t="s">
        <v>302</v>
      </c>
      <c r="F106" s="62">
        <f>'Stavební rozpočet'!F110</f>
        <v>3.07</v>
      </c>
      <c r="G106" s="62">
        <v>0</v>
      </c>
      <c r="H106" s="62">
        <f>F106*AE106</f>
        <v>0</v>
      </c>
      <c r="I106" s="62">
        <f>J106-H106</f>
        <v>0</v>
      </c>
      <c r="J106" s="62">
        <f>F106*G106</f>
        <v>0</v>
      </c>
      <c r="K106" s="62">
        <f>'Stavební rozpočet'!K110</f>
        <v>1.80182</v>
      </c>
      <c r="L106" s="62">
        <f>F106*K106</f>
        <v>5.531587399999999</v>
      </c>
      <c r="M106" s="60" t="s">
        <v>308</v>
      </c>
      <c r="P106" s="38">
        <f>IF(AG106="5",J106,0)</f>
        <v>0</v>
      </c>
      <c r="R106" s="38">
        <f>IF(AG106="1",H106,0)</f>
        <v>0</v>
      </c>
      <c r="S106" s="38">
        <f>IF(AG106="1",I106,0)</f>
        <v>0</v>
      </c>
      <c r="T106" s="38">
        <f>IF(AG106="7",H106,0)</f>
        <v>0</v>
      </c>
      <c r="U106" s="38">
        <f>IF(AG106="7",I106,0)</f>
        <v>0</v>
      </c>
      <c r="V106" s="38">
        <f>IF(AG106="2",H106,0)</f>
        <v>0</v>
      </c>
      <c r="W106" s="38">
        <f>IF(AG106="2",I106,0)</f>
        <v>0</v>
      </c>
      <c r="X106" s="38">
        <f>IF(AG106="0",J106,0)</f>
        <v>0</v>
      </c>
      <c r="Y106" s="57" t="s">
        <v>80</v>
      </c>
      <c r="Z106" s="62">
        <f>IF(AD106=0,J106,0)</f>
        <v>0</v>
      </c>
      <c r="AA106" s="62">
        <f>IF(AD106=15,J106,0)</f>
        <v>0</v>
      </c>
      <c r="AB106" s="62">
        <f>IF(AD106=21,J106,0)</f>
        <v>0</v>
      </c>
      <c r="AD106" s="38">
        <v>21</v>
      </c>
      <c r="AE106" s="38">
        <f>G106*0.0285957287824067</f>
        <v>0</v>
      </c>
      <c r="AF106" s="38">
        <f>G106*(1-0.0285957287824067)</f>
        <v>0</v>
      </c>
      <c r="AG106" s="60" t="s">
        <v>97</v>
      </c>
      <c r="AM106" s="38">
        <f>F106*AE106</f>
        <v>0</v>
      </c>
      <c r="AN106" s="38">
        <f>F106*AF106</f>
        <v>0</v>
      </c>
      <c r="AO106" s="61" t="s">
        <v>321</v>
      </c>
      <c r="AP106" s="61" t="s">
        <v>331</v>
      </c>
      <c r="AQ106" s="57" t="s">
        <v>332</v>
      </c>
      <c r="AS106" s="38">
        <f>AM106+AN106</f>
        <v>0</v>
      </c>
      <c r="AT106" s="38">
        <f>G106/(100-AU106)*100</f>
        <v>0</v>
      </c>
      <c r="AU106" s="38">
        <v>0</v>
      </c>
      <c r="AV106" s="38">
        <f>L106</f>
        <v>5.531587399999999</v>
      </c>
    </row>
    <row r="107" spans="4:6" ht="12.75">
      <c r="D107" s="66" t="s">
        <v>296</v>
      </c>
      <c r="F107" s="67">
        <v>3.07</v>
      </c>
    </row>
    <row r="108" spans="1:37" ht="12.75">
      <c r="A108" s="45"/>
      <c r="B108" s="50" t="s">
        <v>80</v>
      </c>
      <c r="C108" s="50" t="s">
        <v>141</v>
      </c>
      <c r="D108" s="50" t="s">
        <v>156</v>
      </c>
      <c r="E108" s="45" t="s">
        <v>77</v>
      </c>
      <c r="F108" s="45" t="s">
        <v>77</v>
      </c>
      <c r="G108" s="45" t="s">
        <v>77</v>
      </c>
      <c r="H108" s="64">
        <f>SUM(H109:H109)</f>
        <v>0</v>
      </c>
      <c r="I108" s="64">
        <f>SUM(I109:I109)</f>
        <v>0</v>
      </c>
      <c r="J108" s="64">
        <f>H108+I108</f>
        <v>0</v>
      </c>
      <c r="K108" s="57"/>
      <c r="L108" s="64">
        <f>SUM(L109:L109)</f>
        <v>0</v>
      </c>
      <c r="M108" s="57"/>
      <c r="Y108" s="57" t="s">
        <v>80</v>
      </c>
      <c r="AI108" s="64">
        <f>SUM(Z109:Z109)</f>
        <v>0</v>
      </c>
      <c r="AJ108" s="64">
        <f>SUM(AA109:AA109)</f>
        <v>0</v>
      </c>
      <c r="AK108" s="64">
        <f>SUM(AB109:AB109)</f>
        <v>0</v>
      </c>
    </row>
    <row r="109" spans="1:48" ht="12.75">
      <c r="A109" s="46" t="s">
        <v>187</v>
      </c>
      <c r="B109" s="46" t="s">
        <v>80</v>
      </c>
      <c r="C109" s="46" t="s">
        <v>223</v>
      </c>
      <c r="D109" s="46" t="s">
        <v>297</v>
      </c>
      <c r="E109" s="46" t="s">
        <v>307</v>
      </c>
      <c r="F109" s="62">
        <f>'Stavební rozpočet'!F113</f>
        <v>32.93</v>
      </c>
      <c r="G109" s="62">
        <v>0</v>
      </c>
      <c r="H109" s="62">
        <f>F109*AE109</f>
        <v>0</v>
      </c>
      <c r="I109" s="62">
        <f>J109-H109</f>
        <v>0</v>
      </c>
      <c r="J109" s="62">
        <f>F109*G109</f>
        <v>0</v>
      </c>
      <c r="K109" s="62">
        <f>'Stavební rozpočet'!K113</f>
        <v>0</v>
      </c>
      <c r="L109" s="62">
        <f>F109*K109</f>
        <v>0</v>
      </c>
      <c r="M109" s="60" t="s">
        <v>308</v>
      </c>
      <c r="P109" s="38">
        <f>IF(AG109="5",J109,0)</f>
        <v>0</v>
      </c>
      <c r="R109" s="38">
        <f>IF(AG109="1",H109,0)</f>
        <v>0</v>
      </c>
      <c r="S109" s="38">
        <f>IF(AG109="1",I109,0)</f>
        <v>0</v>
      </c>
      <c r="T109" s="38">
        <f>IF(AG109="7",H109,0)</f>
        <v>0</v>
      </c>
      <c r="U109" s="38">
        <f>IF(AG109="7",I109,0)</f>
        <v>0</v>
      </c>
      <c r="V109" s="38">
        <f>IF(AG109="2",H109,0)</f>
        <v>0</v>
      </c>
      <c r="W109" s="38">
        <f>IF(AG109="2",I109,0)</f>
        <v>0</v>
      </c>
      <c r="X109" s="38">
        <f>IF(AG109="0",J109,0)</f>
        <v>0</v>
      </c>
      <c r="Y109" s="57" t="s">
        <v>80</v>
      </c>
      <c r="Z109" s="62">
        <f>IF(AD109=0,J109,0)</f>
        <v>0</v>
      </c>
      <c r="AA109" s="62">
        <f>IF(AD109=15,J109,0)</f>
        <v>0</v>
      </c>
      <c r="AB109" s="62">
        <f>IF(AD109=21,J109,0)</f>
        <v>0</v>
      </c>
      <c r="AD109" s="38">
        <v>21</v>
      </c>
      <c r="AE109" s="38">
        <f>G109*0</f>
        <v>0</v>
      </c>
      <c r="AF109" s="38">
        <f>G109*(1-0)</f>
        <v>0</v>
      </c>
      <c r="AG109" s="60" t="s">
        <v>162</v>
      </c>
      <c r="AM109" s="38">
        <f>F109*AE109</f>
        <v>0</v>
      </c>
      <c r="AN109" s="38">
        <f>F109*AF109</f>
        <v>0</v>
      </c>
      <c r="AO109" s="61" t="s">
        <v>322</v>
      </c>
      <c r="AP109" s="61" t="s">
        <v>331</v>
      </c>
      <c r="AQ109" s="57" t="s">
        <v>332</v>
      </c>
      <c r="AS109" s="38">
        <f>AM109+AN109</f>
        <v>0</v>
      </c>
      <c r="AT109" s="38">
        <f>G109/(100-AU109)*100</f>
        <v>0</v>
      </c>
      <c r="AU109" s="38">
        <v>0</v>
      </c>
      <c r="AV109" s="38">
        <f>L109</f>
        <v>0</v>
      </c>
    </row>
    <row r="110" spans="4:6" ht="12.75">
      <c r="D110" s="66" t="s">
        <v>298</v>
      </c>
      <c r="F110" s="67">
        <v>32.93</v>
      </c>
    </row>
    <row r="111" spans="1:37" ht="12.75">
      <c r="A111" s="45"/>
      <c r="B111" s="50" t="s">
        <v>80</v>
      </c>
      <c r="C111" s="50" t="s">
        <v>142</v>
      </c>
      <c r="D111" s="50" t="s">
        <v>157</v>
      </c>
      <c r="E111" s="45" t="s">
        <v>77</v>
      </c>
      <c r="F111" s="45" t="s">
        <v>77</v>
      </c>
      <c r="G111" s="45" t="s">
        <v>77</v>
      </c>
      <c r="H111" s="64">
        <f>SUM(H112:H114)</f>
        <v>0</v>
      </c>
      <c r="I111" s="64">
        <f>SUM(I112:I114)</f>
        <v>0</v>
      </c>
      <c r="J111" s="64">
        <f>H111+I111</f>
        <v>0</v>
      </c>
      <c r="K111" s="57"/>
      <c r="L111" s="64">
        <f>SUM(L112:L114)</f>
        <v>0</v>
      </c>
      <c r="M111" s="57"/>
      <c r="Y111" s="57" t="s">
        <v>80</v>
      </c>
      <c r="AI111" s="64">
        <f>SUM(Z112:Z114)</f>
        <v>0</v>
      </c>
      <c r="AJ111" s="64">
        <f>SUM(AA112:AA114)</f>
        <v>0</v>
      </c>
      <c r="AK111" s="64">
        <f>SUM(AB112:AB114)</f>
        <v>0</v>
      </c>
    </row>
    <row r="112" spans="1:48" ht="12.75">
      <c r="A112" s="46" t="s">
        <v>188</v>
      </c>
      <c r="B112" s="46" t="s">
        <v>80</v>
      </c>
      <c r="C112" s="46" t="s">
        <v>224</v>
      </c>
      <c r="D112" s="46" t="s">
        <v>299</v>
      </c>
      <c r="E112" s="46" t="s">
        <v>307</v>
      </c>
      <c r="F112" s="62">
        <f>'Stavební rozpočet'!F116</f>
        <v>5.5</v>
      </c>
      <c r="G112" s="62">
        <v>0</v>
      </c>
      <c r="H112" s="62">
        <f>F112*AE112</f>
        <v>0</v>
      </c>
      <c r="I112" s="62">
        <f>J112-H112</f>
        <v>0</v>
      </c>
      <c r="J112" s="62">
        <f>F112*G112</f>
        <v>0</v>
      </c>
      <c r="K112" s="62">
        <f>'Stavební rozpočet'!K116</f>
        <v>0</v>
      </c>
      <c r="L112" s="62">
        <f>F112*K112</f>
        <v>0</v>
      </c>
      <c r="M112" s="60" t="s">
        <v>308</v>
      </c>
      <c r="P112" s="38">
        <f>IF(AG112="5",J112,0)</f>
        <v>0</v>
      </c>
      <c r="R112" s="38">
        <f>IF(AG112="1",H112,0)</f>
        <v>0</v>
      </c>
      <c r="S112" s="38">
        <f>IF(AG112="1",I112,0)</f>
        <v>0</v>
      </c>
      <c r="T112" s="38">
        <f>IF(AG112="7",H112,0)</f>
        <v>0</v>
      </c>
      <c r="U112" s="38">
        <f>IF(AG112="7",I112,0)</f>
        <v>0</v>
      </c>
      <c r="V112" s="38">
        <f>IF(AG112="2",H112,0)</f>
        <v>0</v>
      </c>
      <c r="W112" s="38">
        <f>IF(AG112="2",I112,0)</f>
        <v>0</v>
      </c>
      <c r="X112" s="38">
        <f>IF(AG112="0",J112,0)</f>
        <v>0</v>
      </c>
      <c r="Y112" s="57" t="s">
        <v>80</v>
      </c>
      <c r="Z112" s="62">
        <f>IF(AD112=0,J112,0)</f>
        <v>0</v>
      </c>
      <c r="AA112" s="62">
        <f>IF(AD112=15,J112,0)</f>
        <v>0</v>
      </c>
      <c r="AB112" s="62">
        <f>IF(AD112=21,J112,0)</f>
        <v>0</v>
      </c>
      <c r="AD112" s="38">
        <v>21</v>
      </c>
      <c r="AE112" s="38">
        <f>G112*0.0101549053356282</f>
        <v>0</v>
      </c>
      <c r="AF112" s="38">
        <f>G112*(1-0.0101549053356282)</f>
        <v>0</v>
      </c>
      <c r="AG112" s="60" t="s">
        <v>162</v>
      </c>
      <c r="AM112" s="38">
        <f>F112*AE112</f>
        <v>0</v>
      </c>
      <c r="AN112" s="38">
        <f>F112*AF112</f>
        <v>0</v>
      </c>
      <c r="AO112" s="61" t="s">
        <v>323</v>
      </c>
      <c r="AP112" s="61" t="s">
        <v>331</v>
      </c>
      <c r="AQ112" s="57" t="s">
        <v>332</v>
      </c>
      <c r="AS112" s="38">
        <f>AM112+AN112</f>
        <v>0</v>
      </c>
      <c r="AT112" s="38">
        <f>G112/(100-AU112)*100</f>
        <v>0</v>
      </c>
      <c r="AU112" s="38">
        <v>0</v>
      </c>
      <c r="AV112" s="38">
        <f>L112</f>
        <v>0</v>
      </c>
    </row>
    <row r="113" spans="4:6" ht="12.75">
      <c r="D113" s="66" t="s">
        <v>300</v>
      </c>
      <c r="F113" s="67">
        <v>5.5</v>
      </c>
    </row>
    <row r="114" spans="1:48" ht="12.75">
      <c r="A114" s="46" t="s">
        <v>127</v>
      </c>
      <c r="B114" s="46" t="s">
        <v>80</v>
      </c>
      <c r="C114" s="46" t="s">
        <v>225</v>
      </c>
      <c r="D114" s="46" t="s">
        <v>301</v>
      </c>
      <c r="E114" s="46" t="s">
        <v>307</v>
      </c>
      <c r="F114" s="62">
        <f>'Stavební rozpočet'!F118</f>
        <v>5.5</v>
      </c>
      <c r="G114" s="62">
        <v>0</v>
      </c>
      <c r="H114" s="62">
        <f>F114*AE114</f>
        <v>0</v>
      </c>
      <c r="I114" s="62">
        <f>J114-H114</f>
        <v>0</v>
      </c>
      <c r="J114" s="62">
        <f>F114*G114</f>
        <v>0</v>
      </c>
      <c r="K114" s="62">
        <f>'Stavební rozpočet'!K118</f>
        <v>0</v>
      </c>
      <c r="L114" s="62">
        <f>F114*K114</f>
        <v>0</v>
      </c>
      <c r="M114" s="60" t="s">
        <v>308</v>
      </c>
      <c r="P114" s="38">
        <f>IF(AG114="5",J114,0)</f>
        <v>0</v>
      </c>
      <c r="R114" s="38">
        <f>IF(AG114="1",H114,0)</f>
        <v>0</v>
      </c>
      <c r="S114" s="38">
        <f>IF(AG114="1",I114,0)</f>
        <v>0</v>
      </c>
      <c r="T114" s="38">
        <f>IF(AG114="7",H114,0)</f>
        <v>0</v>
      </c>
      <c r="U114" s="38">
        <f>IF(AG114="7",I114,0)</f>
        <v>0</v>
      </c>
      <c r="V114" s="38">
        <f>IF(AG114="2",H114,0)</f>
        <v>0</v>
      </c>
      <c r="W114" s="38">
        <f>IF(AG114="2",I114,0)</f>
        <v>0</v>
      </c>
      <c r="X114" s="38">
        <f>IF(AG114="0",J114,0)</f>
        <v>0</v>
      </c>
      <c r="Y114" s="57" t="s">
        <v>80</v>
      </c>
      <c r="Z114" s="62">
        <f>IF(AD114=0,J114,0)</f>
        <v>0</v>
      </c>
      <c r="AA114" s="62">
        <f>IF(AD114=15,J114,0)</f>
        <v>0</v>
      </c>
      <c r="AB114" s="62">
        <f>IF(AD114=21,J114,0)</f>
        <v>0</v>
      </c>
      <c r="AD114" s="38">
        <v>21</v>
      </c>
      <c r="AE114" s="38">
        <f>G114*0</f>
        <v>0</v>
      </c>
      <c r="AF114" s="38">
        <f>G114*(1-0)</f>
        <v>0</v>
      </c>
      <c r="AG114" s="60" t="s">
        <v>162</v>
      </c>
      <c r="AM114" s="38">
        <f>F114*AE114</f>
        <v>0</v>
      </c>
      <c r="AN114" s="38">
        <f>F114*AF114</f>
        <v>0</v>
      </c>
      <c r="AO114" s="61" t="s">
        <v>323</v>
      </c>
      <c r="AP114" s="61" t="s">
        <v>331</v>
      </c>
      <c r="AQ114" s="57" t="s">
        <v>332</v>
      </c>
      <c r="AS114" s="38">
        <f>AM114+AN114</f>
        <v>0</v>
      </c>
      <c r="AT114" s="38">
        <f>G114/(100-AU114)*100</f>
        <v>0</v>
      </c>
      <c r="AU114" s="38">
        <v>0</v>
      </c>
      <c r="AV114" s="38">
        <f>L114</f>
        <v>0</v>
      </c>
    </row>
    <row r="115" spans="1:13" ht="12.75">
      <c r="A115" s="1"/>
      <c r="B115" s="1"/>
      <c r="C115" s="1"/>
      <c r="D115" s="51" t="s">
        <v>300</v>
      </c>
      <c r="E115" s="1"/>
      <c r="F115" s="53">
        <v>5.5</v>
      </c>
      <c r="G115" s="1"/>
      <c r="H115" s="1"/>
      <c r="I115" s="1"/>
      <c r="J115" s="1"/>
      <c r="K115" s="1"/>
      <c r="L115" s="1"/>
      <c r="M115" s="1"/>
    </row>
    <row r="116" spans="1:13" ht="12.75">
      <c r="A116" s="7"/>
      <c r="B116" s="7"/>
      <c r="C116" s="7"/>
      <c r="D116" s="7"/>
      <c r="E116" s="7"/>
      <c r="F116" s="7"/>
      <c r="G116" s="7"/>
      <c r="H116" s="419" t="s">
        <v>92</v>
      </c>
      <c r="I116" s="356"/>
      <c r="J116" s="41">
        <f>J13+J18+J25+J36+J39+J59+J62+J65+J70+J73+J82+J98+J103+J108+J111</f>
        <v>0</v>
      </c>
      <c r="K116" s="7"/>
      <c r="L116" s="7"/>
      <c r="M116" s="7"/>
    </row>
    <row r="117" ht="11.25" customHeight="1">
      <c r="A117" s="33" t="s">
        <v>18</v>
      </c>
    </row>
    <row r="118" spans="1:13" ht="12.75">
      <c r="A118" s="362"/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</row>
  </sheetData>
  <sheetProtection/>
  <mergeCells count="29">
    <mergeCell ref="H10:J10"/>
    <mergeCell ref="K10:L10"/>
    <mergeCell ref="H116:I116"/>
    <mergeCell ref="A118:M11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60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35"/>
  <sheetViews>
    <sheetView zoomScalePageLayoutView="0" workbookViewId="0" topLeftCell="A1">
      <selection activeCell="H39" sqref="H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7.281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33.57421875" style="0" customWidth="1"/>
  </cols>
  <sheetData>
    <row r="1" spans="1:9" ht="72.75" customHeight="1">
      <c r="A1" s="74"/>
      <c r="B1" s="1"/>
      <c r="C1" s="349" t="s">
        <v>333</v>
      </c>
      <c r="D1" s="350"/>
      <c r="E1" s="350"/>
      <c r="F1" s="350"/>
      <c r="G1" s="350"/>
      <c r="H1" s="350"/>
      <c r="I1" s="350"/>
    </row>
    <row r="2" spans="1:10" ht="12.75">
      <c r="A2" s="351" t="s">
        <v>0</v>
      </c>
      <c r="B2" s="352"/>
      <c r="C2" s="355" t="str">
        <f>'Stavební rozpočet'!D2</f>
        <v>MŠ Velký Borek, energeticky úsporné větrání</v>
      </c>
      <c r="D2" s="356"/>
      <c r="E2" s="358" t="s">
        <v>32</v>
      </c>
      <c r="F2" s="358" t="str">
        <f>'Stavební rozpočet'!J2</f>
        <v>Obec Velký Borek</v>
      </c>
      <c r="G2" s="352"/>
      <c r="H2" s="358" t="s">
        <v>52</v>
      </c>
      <c r="I2" s="359" t="s">
        <v>56</v>
      </c>
      <c r="J2" s="2"/>
    </row>
    <row r="3" spans="1:10" ht="12.75">
      <c r="A3" s="353"/>
      <c r="B3" s="354"/>
      <c r="C3" s="357"/>
      <c r="D3" s="357"/>
      <c r="E3" s="354"/>
      <c r="F3" s="354"/>
      <c r="G3" s="354"/>
      <c r="H3" s="354"/>
      <c r="I3" s="360"/>
      <c r="J3" s="2"/>
    </row>
    <row r="4" spans="1:10" ht="12.75">
      <c r="A4" s="361" t="s">
        <v>1</v>
      </c>
      <c r="B4" s="354"/>
      <c r="C4" s="362" t="str">
        <f>'Stavební rozpočet'!D4</f>
        <v>TZB - Technika prostředí - VZT řízené větrání s rekuperací, chlazení</v>
      </c>
      <c r="D4" s="354"/>
      <c r="E4" s="362" t="s">
        <v>33</v>
      </c>
      <c r="F4" s="362" t="str">
        <f>'Stavební rozpočet'!J4</f>
        <v>Ing. Jiří Šír - VISTA</v>
      </c>
      <c r="G4" s="354"/>
      <c r="H4" s="362" t="s">
        <v>52</v>
      </c>
      <c r="I4" s="363" t="s">
        <v>57</v>
      </c>
      <c r="J4" s="2"/>
    </row>
    <row r="5" spans="1:10" ht="12.75">
      <c r="A5" s="353"/>
      <c r="B5" s="354"/>
      <c r="C5" s="354"/>
      <c r="D5" s="354"/>
      <c r="E5" s="354"/>
      <c r="F5" s="354"/>
      <c r="G5" s="354"/>
      <c r="H5" s="354"/>
      <c r="I5" s="360"/>
      <c r="J5" s="2"/>
    </row>
    <row r="6" spans="1:10" ht="12.75">
      <c r="A6" s="361" t="s">
        <v>2</v>
      </c>
      <c r="B6" s="354"/>
      <c r="C6" s="362" t="str">
        <f>'Stavební rozpočet'!D6</f>
        <v>Školní  č.p. 226, Velký Borek</v>
      </c>
      <c r="D6" s="354"/>
      <c r="E6" s="362" t="s">
        <v>34</v>
      </c>
      <c r="F6" s="362" t="str">
        <f>'Stavební rozpočet'!J6</f>
        <v>Vzejde z výběrového řízení</v>
      </c>
      <c r="G6" s="354"/>
      <c r="H6" s="362" t="s">
        <v>52</v>
      </c>
      <c r="I6" s="363"/>
      <c r="J6" s="2"/>
    </row>
    <row r="7" spans="1:10" ht="12.75">
      <c r="A7" s="353"/>
      <c r="B7" s="354"/>
      <c r="C7" s="354"/>
      <c r="D7" s="354"/>
      <c r="E7" s="354"/>
      <c r="F7" s="354"/>
      <c r="G7" s="354"/>
      <c r="H7" s="354"/>
      <c r="I7" s="360"/>
      <c r="J7" s="2"/>
    </row>
    <row r="8" spans="1:10" ht="12.75">
      <c r="A8" s="361" t="s">
        <v>3</v>
      </c>
      <c r="B8" s="354"/>
      <c r="C8" s="362" t="str">
        <f>'Stavební rozpočet'!G4</f>
        <v> </v>
      </c>
      <c r="D8" s="354"/>
      <c r="E8" s="362" t="s">
        <v>35</v>
      </c>
      <c r="F8" s="388" t="s">
        <v>77</v>
      </c>
      <c r="G8" s="354"/>
      <c r="H8" s="364" t="s">
        <v>53</v>
      </c>
      <c r="I8" s="363" t="s">
        <v>97</v>
      </c>
      <c r="J8" s="2"/>
    </row>
    <row r="9" spans="1:10" ht="12.75">
      <c r="A9" s="353"/>
      <c r="B9" s="354"/>
      <c r="C9" s="354"/>
      <c r="D9" s="354"/>
      <c r="E9" s="354"/>
      <c r="F9" s="354"/>
      <c r="G9" s="354"/>
      <c r="H9" s="354"/>
      <c r="I9" s="360"/>
      <c r="J9" s="2"/>
    </row>
    <row r="10" spans="1:10" ht="12.75">
      <c r="A10" s="361" t="s">
        <v>4</v>
      </c>
      <c r="B10" s="354"/>
      <c r="C10" s="362">
        <f>'Stavební rozpočet'!D8</f>
        <v>8013189</v>
      </c>
      <c r="D10" s="354"/>
      <c r="E10" s="362" t="s">
        <v>36</v>
      </c>
      <c r="F10" s="362" t="str">
        <f>'Stavební rozpočet'!J8</f>
        <v>Ing. Jiří Šír</v>
      </c>
      <c r="G10" s="354"/>
      <c r="H10" s="364" t="s">
        <v>54</v>
      </c>
      <c r="I10" s="367">
        <f>'Krycí list rozpočtu'!I10:I11</f>
        <v>43221</v>
      </c>
      <c r="J10" s="2"/>
    </row>
    <row r="11" spans="1:10" ht="12.75">
      <c r="A11" s="365"/>
      <c r="B11" s="366"/>
      <c r="C11" s="366"/>
      <c r="D11" s="366"/>
      <c r="E11" s="366"/>
      <c r="F11" s="366"/>
      <c r="G11" s="366"/>
      <c r="H11" s="366"/>
      <c r="I11" s="389"/>
      <c r="J11" s="2"/>
    </row>
    <row r="12" spans="1:9" ht="23.25" customHeight="1">
      <c r="A12" s="369" t="s">
        <v>5</v>
      </c>
      <c r="B12" s="370"/>
      <c r="C12" s="370"/>
      <c r="D12" s="370"/>
      <c r="E12" s="370"/>
      <c r="F12" s="370"/>
      <c r="G12" s="370"/>
      <c r="H12" s="370"/>
      <c r="I12" s="370"/>
    </row>
    <row r="13" spans="1:10" ht="26.25" customHeight="1">
      <c r="A13" s="4" t="s">
        <v>6</v>
      </c>
      <c r="B13" s="371" t="s">
        <v>19</v>
      </c>
      <c r="C13" s="372"/>
      <c r="D13" s="4" t="s">
        <v>23</v>
      </c>
      <c r="E13" s="371" t="s">
        <v>37</v>
      </c>
      <c r="F13" s="372"/>
      <c r="G13" s="4" t="s">
        <v>38</v>
      </c>
      <c r="H13" s="371" t="s">
        <v>55</v>
      </c>
      <c r="I13" s="372"/>
      <c r="J13" s="2"/>
    </row>
    <row r="14" spans="1:10" ht="15" customHeight="1">
      <c r="A14" s="5" t="s">
        <v>7</v>
      </c>
      <c r="B14" s="10" t="s">
        <v>20</v>
      </c>
      <c r="C14" s="13">
        <f>SUM('Stavební rozpočet (SO 03)'!R12:R148)</f>
        <v>0</v>
      </c>
      <c r="D14" s="373" t="s">
        <v>24</v>
      </c>
      <c r="E14" s="374"/>
      <c r="F14" s="13">
        <v>0</v>
      </c>
      <c r="G14" s="373" t="s">
        <v>39</v>
      </c>
      <c r="H14" s="374"/>
      <c r="I14" s="13">
        <v>0</v>
      </c>
      <c r="J14" s="2"/>
    </row>
    <row r="15" spans="1:10" ht="15" customHeight="1">
      <c r="A15" s="6"/>
      <c r="B15" s="10" t="s">
        <v>21</v>
      </c>
      <c r="C15" s="13">
        <f>SUM('Stavební rozpočet (SO 03)'!S12:S148)</f>
        <v>0</v>
      </c>
      <c r="D15" s="373" t="s">
        <v>25</v>
      </c>
      <c r="E15" s="374"/>
      <c r="F15" s="13">
        <v>0</v>
      </c>
      <c r="G15" s="373" t="s">
        <v>40</v>
      </c>
      <c r="H15" s="374"/>
      <c r="I15" s="13">
        <v>0</v>
      </c>
      <c r="J15" s="2"/>
    </row>
    <row r="16" spans="1:10" ht="15" customHeight="1">
      <c r="A16" s="5" t="s">
        <v>8</v>
      </c>
      <c r="B16" s="10" t="s">
        <v>20</v>
      </c>
      <c r="C16" s="13">
        <f>SUM('Stavební rozpočet (SO 03)'!T12:T148)</f>
        <v>0</v>
      </c>
      <c r="D16" s="373" t="s">
        <v>26</v>
      </c>
      <c r="E16" s="374"/>
      <c r="F16" s="13">
        <v>0</v>
      </c>
      <c r="G16" s="373" t="s">
        <v>41</v>
      </c>
      <c r="H16" s="374"/>
      <c r="I16" s="13">
        <v>0</v>
      </c>
      <c r="J16" s="2"/>
    </row>
    <row r="17" spans="1:10" ht="15" customHeight="1">
      <c r="A17" s="6"/>
      <c r="B17" s="10" t="s">
        <v>21</v>
      </c>
      <c r="C17" s="13">
        <f>SUM('Stavební rozpočet (SO 03)'!U12:U148)</f>
        <v>0</v>
      </c>
      <c r="D17" s="373"/>
      <c r="E17" s="374"/>
      <c r="F17" s="14"/>
      <c r="G17" s="373" t="s">
        <v>42</v>
      </c>
      <c r="H17" s="374"/>
      <c r="I17" s="13">
        <v>0</v>
      </c>
      <c r="J17" s="2"/>
    </row>
    <row r="18" spans="1:10" ht="15" customHeight="1">
      <c r="A18" s="5" t="s">
        <v>9</v>
      </c>
      <c r="B18" s="10" t="s">
        <v>20</v>
      </c>
      <c r="C18" s="13">
        <f>SUM('Stavební rozpočet (SO 03)'!V12:V148)</f>
        <v>0</v>
      </c>
      <c r="D18" s="373"/>
      <c r="E18" s="374"/>
      <c r="F18" s="14"/>
      <c r="G18" s="373" t="s">
        <v>43</v>
      </c>
      <c r="H18" s="374"/>
      <c r="I18" s="13">
        <v>0</v>
      </c>
      <c r="J18" s="2"/>
    </row>
    <row r="19" spans="1:10" ht="15" customHeight="1">
      <c r="A19" s="6"/>
      <c r="B19" s="10" t="s">
        <v>21</v>
      </c>
      <c r="C19" s="13">
        <f>SUM('Stavební rozpočet (SO 03)'!W12:W148)</f>
        <v>0</v>
      </c>
      <c r="D19" s="373"/>
      <c r="E19" s="374"/>
      <c r="F19" s="14"/>
      <c r="G19" s="373" t="s">
        <v>44</v>
      </c>
      <c r="H19" s="374"/>
      <c r="I19" s="13">
        <v>0</v>
      </c>
      <c r="J19" s="2"/>
    </row>
    <row r="20" spans="1:10" ht="15" customHeight="1">
      <c r="A20" s="375" t="s">
        <v>10</v>
      </c>
      <c r="B20" s="376"/>
      <c r="C20" s="13">
        <f>SUM('Stavební rozpočet (SO 03)'!X12:X148)</f>
        <v>0</v>
      </c>
      <c r="D20" s="373"/>
      <c r="E20" s="374"/>
      <c r="F20" s="14"/>
      <c r="G20" s="373"/>
      <c r="H20" s="374"/>
      <c r="I20" s="14"/>
      <c r="J20" s="2"/>
    </row>
    <row r="21" spans="1:10" ht="15" customHeight="1">
      <c r="A21" s="375" t="s">
        <v>11</v>
      </c>
      <c r="B21" s="376"/>
      <c r="C21" s="13">
        <f>SUM('Stavební rozpočet (SO 03)'!P12:P148)</f>
        <v>0</v>
      </c>
      <c r="D21" s="373"/>
      <c r="E21" s="374"/>
      <c r="F21" s="14"/>
      <c r="G21" s="373"/>
      <c r="H21" s="374"/>
      <c r="I21" s="14"/>
      <c r="J21" s="2"/>
    </row>
    <row r="22" spans="1:10" ht="16.5" customHeight="1">
      <c r="A22" s="375" t="s">
        <v>12</v>
      </c>
      <c r="B22" s="376"/>
      <c r="C22" s="13">
        <f>SUM(C14:C21)</f>
        <v>0</v>
      </c>
      <c r="D22" s="375" t="s">
        <v>27</v>
      </c>
      <c r="E22" s="376"/>
      <c r="F22" s="13">
        <f>SUM(F14:F21)</f>
        <v>0</v>
      </c>
      <c r="G22" s="375" t="s">
        <v>45</v>
      </c>
      <c r="H22" s="376"/>
      <c r="I22" s="13">
        <f>SUM(I14:I21)</f>
        <v>0</v>
      </c>
      <c r="J22" s="2"/>
    </row>
    <row r="23" spans="1:10" ht="15" customHeight="1">
      <c r="A23" s="7"/>
      <c r="B23" s="7"/>
      <c r="C23" s="7"/>
      <c r="D23" s="7"/>
      <c r="E23" s="7"/>
      <c r="F23" s="12"/>
      <c r="G23" s="375" t="s">
        <v>47</v>
      </c>
      <c r="H23" s="376"/>
      <c r="I23" s="13">
        <v>0</v>
      </c>
      <c r="J23" s="2"/>
    </row>
    <row r="24" spans="1:9" ht="12.75">
      <c r="A24" s="1"/>
      <c r="B24" s="1"/>
      <c r="C24" s="1"/>
      <c r="G24" s="7"/>
      <c r="H24" s="7"/>
      <c r="I24" s="7"/>
    </row>
    <row r="25" spans="1:9" ht="15" customHeight="1">
      <c r="A25" s="377" t="s">
        <v>13</v>
      </c>
      <c r="B25" s="378"/>
      <c r="C25" s="18">
        <f>SUM('Stavební rozpočet (SO 03)'!Z12:Z148)</f>
        <v>0</v>
      </c>
      <c r="D25" s="3"/>
      <c r="E25" s="1"/>
      <c r="F25" s="1"/>
      <c r="G25" s="1"/>
      <c r="H25" s="1"/>
      <c r="I25" s="1"/>
    </row>
    <row r="26" spans="1:10" ht="15" customHeight="1">
      <c r="A26" s="377" t="s">
        <v>14</v>
      </c>
      <c r="B26" s="378"/>
      <c r="C26" s="18">
        <f>SUM('Stavební rozpočet (SO 03)'!AA12:AA148)</f>
        <v>0</v>
      </c>
      <c r="D26" s="377" t="s">
        <v>29</v>
      </c>
      <c r="E26" s="378"/>
      <c r="F26" s="18">
        <f>ROUND(C26*(15/100),2)</f>
        <v>0</v>
      </c>
      <c r="G26" s="377" t="s">
        <v>49</v>
      </c>
      <c r="H26" s="378"/>
      <c r="I26" s="18">
        <f>SUM(C25:C27)</f>
        <v>0</v>
      </c>
      <c r="J26" s="2"/>
    </row>
    <row r="27" spans="1:10" ht="15" customHeight="1">
      <c r="A27" s="377" t="s">
        <v>15</v>
      </c>
      <c r="B27" s="378"/>
      <c r="C27" s="18">
        <f>SUM('Stavební rozpočet (SO 03)'!AB12:AB148)+(F22+I22+F23+I23+I24)</f>
        <v>0</v>
      </c>
      <c r="D27" s="377" t="s">
        <v>30</v>
      </c>
      <c r="E27" s="378"/>
      <c r="F27" s="18">
        <f>ROUND(C27*(21/100),2)</f>
        <v>0</v>
      </c>
      <c r="G27" s="377" t="s">
        <v>50</v>
      </c>
      <c r="H27" s="378"/>
      <c r="I27" s="18">
        <f>SUM(F26:F27)+I26</f>
        <v>0</v>
      </c>
      <c r="J27" s="2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10" ht="14.25" customHeight="1">
      <c r="A29" s="379" t="s">
        <v>16</v>
      </c>
      <c r="B29" s="380"/>
      <c r="C29" s="381"/>
      <c r="D29" s="379" t="s">
        <v>31</v>
      </c>
      <c r="E29" s="380"/>
      <c r="F29" s="381"/>
      <c r="G29" s="379" t="s">
        <v>51</v>
      </c>
      <c r="H29" s="380"/>
      <c r="I29" s="381"/>
      <c r="J29" s="17"/>
    </row>
    <row r="30" spans="1:10" ht="14.25" customHeight="1">
      <c r="A30" s="382"/>
      <c r="B30" s="383"/>
      <c r="C30" s="384"/>
      <c r="D30" s="382"/>
      <c r="E30" s="383"/>
      <c r="F30" s="384"/>
      <c r="G30" s="382"/>
      <c r="H30" s="383"/>
      <c r="I30" s="384"/>
      <c r="J30" s="17"/>
    </row>
    <row r="31" spans="1:10" ht="14.25" customHeight="1">
      <c r="A31" s="382"/>
      <c r="B31" s="383"/>
      <c r="C31" s="384"/>
      <c r="D31" s="382"/>
      <c r="E31" s="383"/>
      <c r="F31" s="384"/>
      <c r="G31" s="382"/>
      <c r="H31" s="383"/>
      <c r="I31" s="384"/>
      <c r="J31" s="17"/>
    </row>
    <row r="32" spans="1:10" ht="14.25" customHeight="1">
      <c r="A32" s="382"/>
      <c r="B32" s="383"/>
      <c r="C32" s="384"/>
      <c r="D32" s="382"/>
      <c r="E32" s="383"/>
      <c r="F32" s="384"/>
      <c r="G32" s="382"/>
      <c r="H32" s="383"/>
      <c r="I32" s="384"/>
      <c r="J32" s="17"/>
    </row>
    <row r="33" spans="1:10" ht="14.25" customHeight="1">
      <c r="A33" s="385" t="s">
        <v>17</v>
      </c>
      <c r="B33" s="386"/>
      <c r="C33" s="387"/>
      <c r="D33" s="385" t="s">
        <v>17</v>
      </c>
      <c r="E33" s="386"/>
      <c r="F33" s="387"/>
      <c r="G33" s="385" t="s">
        <v>17</v>
      </c>
      <c r="H33" s="386"/>
      <c r="I33" s="387"/>
      <c r="J33" s="17"/>
    </row>
    <row r="34" spans="1:9" ht="11.25" customHeight="1">
      <c r="A34" s="9" t="s">
        <v>18</v>
      </c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362"/>
      <c r="B35" s="354"/>
      <c r="C35" s="354"/>
      <c r="D35" s="354"/>
      <c r="E35" s="354"/>
      <c r="F35" s="354"/>
      <c r="G35" s="354"/>
      <c r="H35" s="354"/>
      <c r="I35" s="354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</dc:creator>
  <cp:keywords/>
  <dc:description/>
  <cp:lastModifiedBy>Sir</cp:lastModifiedBy>
  <cp:lastPrinted>2018-05-24T21:48:52Z</cp:lastPrinted>
  <dcterms:created xsi:type="dcterms:W3CDTF">2017-11-19T22:49:36Z</dcterms:created>
  <dcterms:modified xsi:type="dcterms:W3CDTF">2018-05-24T21:50:02Z</dcterms:modified>
  <cp:category/>
  <cp:version/>
  <cp:contentType/>
  <cp:contentStatus/>
</cp:coreProperties>
</file>