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Výběrová řízení\_137-2006\V 00243 DSO Šlapanicko\_Nové vyhlášení\"/>
    </mc:Choice>
  </mc:AlternateContent>
  <xr:revisionPtr revIDLastSave="0" documentId="13_ncr:1_{35489B37-F923-4793-A95D-7D2312837105}" xr6:coauthVersionLast="34" xr6:coauthVersionMax="34" xr10:uidLastSave="{00000000-0000-0000-0000-000000000000}"/>
  <bookViews>
    <workbookView xWindow="0" yWindow="0" windowWidth="23040" windowHeight="9072" tabRatio="587" activeTab="2" xr2:uid="{00000000-000D-0000-FFFF-FFFF00000000}"/>
  </bookViews>
  <sheets>
    <sheet name="List1" sheetId="1" r:id="rId1"/>
    <sheet name="List2" sheetId="2" r:id="rId2"/>
    <sheet name="Lis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21" i="3" l="1"/>
  <c r="Q20" i="3"/>
  <c r="Q18" i="3"/>
  <c r="Q13" i="3"/>
  <c r="Q9" i="3"/>
  <c r="Q7" i="3"/>
  <c r="Q4" i="3"/>
  <c r="N22" i="3" l="1"/>
  <c r="P22" i="3"/>
  <c r="L22" i="3"/>
  <c r="Q22" i="3" l="1"/>
  <c r="O20" i="3"/>
  <c r="O21" i="3"/>
  <c r="O18" i="3"/>
  <c r="O13" i="3"/>
  <c r="O9" i="3"/>
  <c r="O7" i="3"/>
  <c r="O4" i="3"/>
  <c r="M21" i="3"/>
  <c r="K21" i="3" s="1"/>
  <c r="M18" i="3"/>
  <c r="M13" i="3"/>
  <c r="M9" i="3"/>
  <c r="K9" i="3" s="1"/>
  <c r="M7" i="3"/>
  <c r="K7" i="3" s="1"/>
  <c r="M4" i="3"/>
  <c r="O22" i="3" l="1"/>
  <c r="K13" i="3"/>
  <c r="K4" i="3"/>
  <c r="M22" i="3"/>
  <c r="K22" i="3" s="1"/>
  <c r="K18" i="3"/>
  <c r="S4" i="3"/>
  <c r="S22" i="3" s="1"/>
  <c r="H22" i="3" l="1"/>
  <c r="I21" i="3" l="1"/>
  <c r="I19" i="3"/>
  <c r="I18" i="3"/>
  <c r="I15" i="3"/>
  <c r="I14" i="3"/>
  <c r="I13" i="3"/>
  <c r="I11" i="3"/>
  <c r="I10" i="3"/>
  <c r="I9" i="3"/>
  <c r="I8" i="3"/>
  <c r="I7" i="3"/>
  <c r="I6" i="3"/>
  <c r="I5" i="3"/>
  <c r="I4" i="3"/>
  <c r="I22" i="3" l="1"/>
  <c r="I24" i="1" l="1"/>
  <c r="I21" i="1"/>
  <c r="I20" i="1"/>
  <c r="I17" i="1"/>
  <c r="R14" i="1" l="1"/>
  <c r="S14" i="1" s="1"/>
  <c r="T14" i="1"/>
  <c r="R15" i="1"/>
  <c r="S15" i="1" s="1"/>
  <c r="T15" i="1"/>
  <c r="R16" i="1"/>
  <c r="S16" i="1" s="1"/>
  <c r="T16" i="1"/>
  <c r="R17" i="1"/>
  <c r="S17" i="1" s="1"/>
  <c r="T17" i="1"/>
  <c r="R18" i="1"/>
  <c r="S18" i="1" s="1"/>
  <c r="T18" i="1"/>
  <c r="R19" i="1"/>
  <c r="S19" i="1" s="1"/>
  <c r="R20" i="1"/>
  <c r="S20" i="1" s="1"/>
  <c r="T20" i="1"/>
  <c r="Q21" i="1"/>
  <c r="T27" i="1" s="1"/>
  <c r="T28" i="1"/>
  <c r="L24" i="1"/>
  <c r="L21" i="1"/>
  <c r="L20" i="1"/>
  <c r="L17" i="1"/>
  <c r="R21" i="1" l="1"/>
  <c r="T21" i="1"/>
  <c r="U20" i="1" s="1"/>
  <c r="S21" i="1"/>
  <c r="S22" i="1" s="1"/>
  <c r="U19" i="1" l="1"/>
  <c r="U16" i="1"/>
  <c r="U17" i="1"/>
  <c r="U15" i="1"/>
  <c r="U14" i="1"/>
  <c r="U18" i="1"/>
  <c r="I12" i="1"/>
  <c r="L12" i="1" s="1"/>
  <c r="I6" i="1"/>
  <c r="L6" i="1" s="1"/>
  <c r="M6" i="1" s="1"/>
  <c r="I7" i="1"/>
  <c r="L7" i="1" s="1"/>
  <c r="I8" i="1"/>
  <c r="L8" i="1" s="1"/>
  <c r="I9" i="1"/>
  <c r="L9" i="1" s="1"/>
  <c r="I10" i="1"/>
  <c r="L10" i="1" s="1"/>
  <c r="I13" i="1"/>
  <c r="L13" i="1" s="1"/>
  <c r="I14" i="1"/>
  <c r="L14" i="1" s="1"/>
  <c r="I18" i="1"/>
  <c r="L18" i="1" s="1"/>
  <c r="I19" i="1"/>
  <c r="L19" i="1" s="1"/>
  <c r="I23" i="1"/>
  <c r="L23" i="1" s="1"/>
  <c r="M23" i="1" s="1"/>
  <c r="I3" i="1"/>
  <c r="L3" i="1" s="1"/>
  <c r="I5" i="1"/>
  <c r="L5" i="1" s="1"/>
  <c r="I4" i="1"/>
  <c r="L4" i="1" s="1"/>
  <c r="M18" i="1" l="1"/>
  <c r="M12" i="1"/>
  <c r="M3" i="1"/>
  <c r="N3" i="1" s="1"/>
  <c r="M8" i="1"/>
  <c r="N8" i="1" s="1"/>
  <c r="L26" i="1"/>
  <c r="L27" i="1" s="1"/>
  <c r="L29" i="1" s="1"/>
  <c r="T26" i="1" s="1"/>
  <c r="N18" i="1"/>
  <c r="N6" i="1"/>
  <c r="U21" i="1"/>
  <c r="N23" i="1"/>
  <c r="N12" i="1"/>
  <c r="M26" i="1" l="1"/>
  <c r="L28" i="1"/>
  <c r="Q32" i="1" l="1"/>
  <c r="Q30" i="1"/>
  <c r="Q34" i="1"/>
  <c r="Q31" i="1"/>
  <c r="Q35" i="1"/>
  <c r="Q36" i="1"/>
  <c r="Q33" i="1"/>
  <c r="Q37" i="1" l="1"/>
</calcChain>
</file>

<file path=xl/sharedStrings.xml><?xml version="1.0" encoding="utf-8"?>
<sst xmlns="http://schemas.openxmlformats.org/spreadsheetml/2006/main" count="240" uniqueCount="88">
  <si>
    <t>Podolí</t>
  </si>
  <si>
    <t>pěší a cyklistická stezka</t>
  </si>
  <si>
    <t>začátek</t>
  </si>
  <si>
    <t>konec</t>
  </si>
  <si>
    <t>délka</t>
  </si>
  <si>
    <t>jednotka</t>
  </si>
  <si>
    <t>jednotková cena</t>
  </si>
  <si>
    <t>D01</t>
  </si>
  <si>
    <t>P06</t>
  </si>
  <si>
    <t>m²</t>
  </si>
  <si>
    <t>P10</t>
  </si>
  <si>
    <t>P05</t>
  </si>
  <si>
    <t>množství</t>
  </si>
  <si>
    <t>R01</t>
  </si>
  <si>
    <t>Viničné Šumice</t>
  </si>
  <si>
    <t>P19</t>
  </si>
  <si>
    <t>Sivice</t>
  </si>
  <si>
    <t>pěší a cyklistická trasa</t>
  </si>
  <si>
    <t>SO S18-201</t>
  </si>
  <si>
    <t>lávka pěší a cyklo</t>
  </si>
  <si>
    <t>Pozořice</t>
  </si>
  <si>
    <t>K27</t>
  </si>
  <si>
    <t>k.ú.</t>
  </si>
  <si>
    <t>Kovalovice</t>
  </si>
  <si>
    <t>Velatice</t>
  </si>
  <si>
    <t>D 4</t>
  </si>
  <si>
    <t>D 01</t>
  </si>
  <si>
    <t>na Kandii</t>
  </si>
  <si>
    <t>na Velatice</t>
  </si>
  <si>
    <t>na Mariánské údolí</t>
  </si>
  <si>
    <t>odbočka do obce</t>
  </si>
  <si>
    <t>od kat. Podolí po kat. Tvarožná</t>
  </si>
  <si>
    <t>Tvarožná</t>
  </si>
  <si>
    <t>Od obce po katastr Sivic</t>
  </si>
  <si>
    <t>okolo rybníka odbočka na Tvarožnou</t>
  </si>
  <si>
    <t>odbočka do Sivic</t>
  </si>
  <si>
    <t>od rybníka po katastr Pozořic</t>
  </si>
  <si>
    <t>Podjezd pod drážní vlečkou</t>
  </si>
  <si>
    <t>Od křižovatky po obec Tvarožná, ne až úplně do konce kvůli budoucí výstavbě domů</t>
  </si>
  <si>
    <t>celkem za obec v Kč</t>
  </si>
  <si>
    <t>celkem v Kč</t>
  </si>
  <si>
    <t>od k.ú. po silnici</t>
  </si>
  <si>
    <t>od silnice po k.ú. Kovalovice</t>
  </si>
  <si>
    <t>rozděleno mezi Tvarožná, Sivice, Kovalovice, Viničné Šumice, Pozořice dle počtu obyvatel</t>
  </si>
  <si>
    <t>počet obyvatel k 1.1. 2017</t>
  </si>
  <si>
    <t>relativní podíl</t>
  </si>
  <si>
    <t>pěší a cyklistická stezka pojížděná</t>
  </si>
  <si>
    <t>Od kat velatice po křižovatku</t>
  </si>
  <si>
    <t>podíl na podjezdu v Kč</t>
  </si>
  <si>
    <t>prostý součet</t>
  </si>
  <si>
    <t>cena za podjezd v Pozořicích rozdělená mezi obce</t>
  </si>
  <si>
    <t>cena za projekt (to zanemná 4,5% z investice)</t>
  </si>
  <si>
    <t>odhadovaná cena za projekt</t>
  </si>
  <si>
    <t>součet včetně vicenákladů, to znamená cena * 1,1</t>
  </si>
  <si>
    <t xml:space="preserve">součet včetně nákladů na vypracování projektové dokumentace </t>
  </si>
  <si>
    <t>(Pozořice)</t>
  </si>
  <si>
    <r>
      <t>m</t>
    </r>
    <r>
      <rPr>
        <sz val="8"/>
        <color theme="1"/>
        <rFont val="Calibri"/>
        <family val="2"/>
        <charset val="238"/>
      </rPr>
      <t>²</t>
    </r>
  </si>
  <si>
    <t>Sivice/Pozořice</t>
  </si>
  <si>
    <t>variantní cyklostezka</t>
  </si>
  <si>
    <t>po křížení se silnici Pozořice-Holubice</t>
  </si>
  <si>
    <t>od hranice katastru Pozořic</t>
  </si>
  <si>
    <t>od křížení silnice Pozořice-Holubice po katastr Kovalovic</t>
  </si>
  <si>
    <t>Počet obyvatel celkem</t>
  </si>
  <si>
    <t>Cena celkem včetně rezervy a projektu</t>
  </si>
  <si>
    <t>součet včetně nákladů na vypracování projektové dokumentace  a cena za podjezd</t>
  </si>
  <si>
    <t>celkový počet obyvatel</t>
  </si>
  <si>
    <t>celková délka v metrech</t>
  </si>
  <si>
    <t>podíl na podjezdu</t>
  </si>
  <si>
    <t>součet včetně nákladů na vypracování projektové dokumentace  a cena za podjezd na jednotlivé obce</t>
  </si>
  <si>
    <t>délka na obec</t>
  </si>
  <si>
    <t>celkem</t>
  </si>
  <si>
    <t>cena za projekt (to znamená 4,5% z investice)</t>
  </si>
  <si>
    <t>podjezd</t>
  </si>
  <si>
    <t>DÚR</t>
  </si>
  <si>
    <t>DSP</t>
  </si>
  <si>
    <t>DPS</t>
  </si>
  <si>
    <t>cena za projekt</t>
  </si>
  <si>
    <t>PD</t>
  </si>
  <si>
    <t>inženýrská činnost</t>
  </si>
  <si>
    <t>nevyplňuje se</t>
  </si>
  <si>
    <t>autorský dozor (cena za 1 hod)</t>
  </si>
  <si>
    <t>autorský dozor (cena za 150 hodin)</t>
  </si>
  <si>
    <t>vyplňují se pouze zeleně označené buňky</t>
  </si>
  <si>
    <t>ÚSEKY</t>
  </si>
  <si>
    <t>V51</t>
  </si>
  <si>
    <t>T13</t>
  </si>
  <si>
    <t>T23 a S18</t>
  </si>
  <si>
    <t>S 17 a S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</si>
</sst>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#,##0\ &quot;Kč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 wrapText="1"/>
    </xf>
    <xf numFmtId="1" fontId="0" fillId="0" borderId="0" xfId="0" applyNumberForma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1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1" fontId="4" fillId="0" borderId="8" xfId="0" applyNumberFormat="1" applyFont="1" applyBorder="1" applyAlignment="1">
      <alignment horizontal="left" wrapText="1"/>
    </xf>
    <xf numFmtId="3" fontId="4" fillId="0" borderId="8" xfId="0" applyNumberFormat="1" applyFont="1" applyBorder="1" applyAlignment="1">
      <alignment horizontal="left" wrapText="1"/>
    </xf>
    <xf numFmtId="164" fontId="3" fillId="3" borderId="4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/>
    </xf>
    <xf numFmtId="164" fontId="3" fillId="3" borderId="5" xfId="0" applyNumberFormat="1" applyFont="1" applyFill="1" applyBorder="1" applyAlignment="1">
      <alignment horizontal="left" wrapText="1"/>
    </xf>
    <xf numFmtId="164" fontId="3" fillId="3" borderId="17" xfId="0" applyNumberFormat="1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left"/>
    </xf>
    <xf numFmtId="3" fontId="3" fillId="3" borderId="5" xfId="0" applyNumberFormat="1" applyFont="1" applyFill="1" applyBorder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4" xfId="0" applyFont="1" applyFill="1" applyBorder="1" applyAlignment="1">
      <alignment horizontal="left"/>
    </xf>
    <xf numFmtId="164" fontId="3" fillId="3" borderId="2" xfId="0" applyNumberFormat="1" applyFont="1" applyFill="1" applyBorder="1" applyAlignment="1">
      <alignment horizontal="left"/>
    </xf>
    <xf numFmtId="164" fontId="3" fillId="3" borderId="1" xfId="0" applyNumberFormat="1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left"/>
    </xf>
    <xf numFmtId="3" fontId="3" fillId="3" borderId="1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164" fontId="3" fillId="2" borderId="2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 wrapText="1"/>
    </xf>
    <xf numFmtId="0" fontId="3" fillId="5" borderId="14" xfId="0" applyFont="1" applyFill="1" applyBorder="1" applyAlignment="1">
      <alignment horizontal="left"/>
    </xf>
    <xf numFmtId="164" fontId="3" fillId="5" borderId="2" xfId="0" applyNumberFormat="1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left"/>
    </xf>
    <xf numFmtId="3" fontId="3" fillId="5" borderId="1" xfId="0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 wrapText="1"/>
    </xf>
    <xf numFmtId="0" fontId="3" fillId="4" borderId="14" xfId="0" applyFont="1" applyFill="1" applyBorder="1" applyAlignment="1">
      <alignment horizontal="left"/>
    </xf>
    <xf numFmtId="164" fontId="3" fillId="4" borderId="2" xfId="0" applyNumberFormat="1" applyFont="1" applyFill="1" applyBorder="1" applyAlignment="1">
      <alignment horizontal="left"/>
    </xf>
    <xf numFmtId="164" fontId="3" fillId="4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3" fontId="3" fillId="4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0" fontId="3" fillId="6" borderId="14" xfId="0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3" fontId="3" fillId="6" borderId="1" xfId="0" applyNumberFormat="1" applyFont="1" applyFill="1" applyBorder="1" applyAlignment="1">
      <alignment horizontal="left"/>
    </xf>
    <xf numFmtId="164" fontId="3" fillId="6" borderId="2" xfId="0" applyNumberFormat="1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wrapText="1"/>
    </xf>
    <xf numFmtId="1" fontId="3" fillId="0" borderId="1" xfId="0" applyNumberFormat="1" applyFont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 wrapText="1"/>
    </xf>
    <xf numFmtId="0" fontId="3" fillId="8" borderId="14" xfId="0" applyFont="1" applyFill="1" applyBorder="1" applyAlignment="1">
      <alignment horizontal="left"/>
    </xf>
    <xf numFmtId="164" fontId="3" fillId="8" borderId="2" xfId="0" applyNumberFormat="1" applyFont="1" applyFill="1" applyBorder="1" applyAlignment="1">
      <alignment horizontal="left"/>
    </xf>
    <xf numFmtId="1" fontId="3" fillId="8" borderId="1" xfId="0" applyNumberFormat="1" applyFont="1" applyFill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Border="1" applyAlignment="1">
      <alignment horizontal="left"/>
    </xf>
    <xf numFmtId="0" fontId="4" fillId="0" borderId="21" xfId="0" applyFont="1" applyBorder="1" applyAlignment="1"/>
    <xf numFmtId="0" fontId="4" fillId="0" borderId="15" xfId="0" applyFont="1" applyBorder="1" applyAlignment="1"/>
    <xf numFmtId="0" fontId="4" fillId="0" borderId="10" xfId="0" applyFont="1" applyBorder="1" applyAlignment="1"/>
    <xf numFmtId="0" fontId="4" fillId="0" borderId="2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1" fontId="4" fillId="0" borderId="19" xfId="0" applyNumberFormat="1" applyFont="1" applyBorder="1" applyAlignment="1">
      <alignment horizontal="left"/>
    </xf>
    <xf numFmtId="3" fontId="3" fillId="0" borderId="0" xfId="1" applyNumberFormat="1" applyFont="1" applyAlignment="1">
      <alignment horizontal="left"/>
    </xf>
    <xf numFmtId="3" fontId="4" fillId="0" borderId="8" xfId="1" applyNumberFormat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left" wrapText="1"/>
    </xf>
    <xf numFmtId="3" fontId="3" fillId="3" borderId="5" xfId="1" applyNumberFormat="1" applyFont="1" applyFill="1" applyBorder="1" applyAlignment="1">
      <alignment horizontal="left"/>
    </xf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 applyAlignment="1">
      <alignment horizontal="left"/>
    </xf>
    <xf numFmtId="3" fontId="3" fillId="5" borderId="1" xfId="1" applyNumberFormat="1" applyFont="1" applyFill="1" applyBorder="1" applyAlignment="1">
      <alignment horizontal="left"/>
    </xf>
    <xf numFmtId="3" fontId="3" fillId="4" borderId="1" xfId="1" applyNumberFormat="1" applyFont="1" applyFill="1" applyBorder="1" applyAlignment="1">
      <alignment horizontal="left"/>
    </xf>
    <xf numFmtId="3" fontId="3" fillId="6" borderId="1" xfId="1" applyNumberFormat="1" applyFont="1" applyFill="1" applyBorder="1" applyAlignment="1">
      <alignment horizontal="left"/>
    </xf>
    <xf numFmtId="3" fontId="3" fillId="0" borderId="1" xfId="1" applyNumberFormat="1" applyFont="1" applyBorder="1" applyAlignment="1">
      <alignment horizontal="left"/>
    </xf>
    <xf numFmtId="3" fontId="3" fillId="3" borderId="3" xfId="1" applyNumberFormat="1" applyFont="1" applyFill="1" applyBorder="1" applyAlignment="1">
      <alignment horizontal="left"/>
    </xf>
    <xf numFmtId="3" fontId="3" fillId="8" borderId="1" xfId="1" applyNumberFormat="1" applyFont="1" applyFill="1" applyBorder="1" applyAlignment="1">
      <alignment horizontal="left"/>
    </xf>
    <xf numFmtId="3" fontId="3" fillId="8" borderId="1" xfId="0" applyNumberFormat="1" applyFont="1" applyFill="1" applyBorder="1" applyAlignment="1">
      <alignment horizontal="left"/>
    </xf>
    <xf numFmtId="3" fontId="4" fillId="0" borderId="1" xfId="1" applyNumberFormat="1" applyFont="1" applyBorder="1" applyAlignment="1">
      <alignment horizontal="left"/>
    </xf>
    <xf numFmtId="3" fontId="4" fillId="0" borderId="3" xfId="1" applyNumberFormat="1" applyFont="1" applyBorder="1" applyAlignment="1">
      <alignment horizontal="left"/>
    </xf>
    <xf numFmtId="3" fontId="4" fillId="0" borderId="19" xfId="1" applyNumberFormat="1" applyFont="1" applyBorder="1" applyAlignment="1">
      <alignment horizontal="left"/>
    </xf>
    <xf numFmtId="3" fontId="4" fillId="0" borderId="20" xfId="1" applyNumberFormat="1" applyFont="1" applyBorder="1" applyAlignment="1">
      <alignment horizontal="left"/>
    </xf>
    <xf numFmtId="3" fontId="0" fillId="0" borderId="0" xfId="1" applyNumberFormat="1" applyFont="1" applyAlignment="1">
      <alignment horizontal="left"/>
    </xf>
    <xf numFmtId="0" fontId="3" fillId="4" borderId="26" xfId="0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left"/>
    </xf>
    <xf numFmtId="3" fontId="3" fillId="6" borderId="1" xfId="1" applyNumberFormat="1" applyFont="1" applyFill="1" applyBorder="1" applyAlignment="1">
      <alignment horizontal="left"/>
    </xf>
    <xf numFmtId="0" fontId="3" fillId="8" borderId="30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left" wrapText="1"/>
    </xf>
    <xf numFmtId="164" fontId="3" fillId="9" borderId="1" xfId="0" applyNumberFormat="1" applyFont="1" applyFill="1" applyBorder="1" applyAlignment="1">
      <alignment horizontal="left"/>
    </xf>
    <xf numFmtId="164" fontId="3" fillId="9" borderId="1" xfId="0" applyNumberFormat="1" applyFont="1" applyFill="1" applyBorder="1" applyAlignment="1">
      <alignment horizontal="left" wrapText="1"/>
    </xf>
    <xf numFmtId="0" fontId="3" fillId="9" borderId="1" xfId="0" applyFont="1" applyFill="1" applyBorder="1" applyAlignment="1">
      <alignment horizontal="left" wrapText="1"/>
    </xf>
    <xf numFmtId="165" fontId="3" fillId="0" borderId="1" xfId="1" applyNumberFormat="1" applyFont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165" fontId="0" fillId="0" borderId="0" xfId="0" applyNumberFormat="1" applyAlignment="1">
      <alignment horizontal="left"/>
    </xf>
    <xf numFmtId="0" fontId="3" fillId="10" borderId="1" xfId="0" applyFont="1" applyFill="1" applyBorder="1" applyAlignment="1">
      <alignment horizontal="left"/>
    </xf>
    <xf numFmtId="3" fontId="3" fillId="8" borderId="26" xfId="1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left"/>
    </xf>
    <xf numFmtId="0" fontId="3" fillId="8" borderId="0" xfId="0" applyFont="1" applyFill="1" applyBorder="1" applyAlignment="1">
      <alignment horizontal="left" wrapText="1"/>
    </xf>
    <xf numFmtId="164" fontId="3" fillId="8" borderId="32" xfId="0" applyNumberFormat="1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1" fontId="3" fillId="8" borderId="26" xfId="0" applyNumberFormat="1" applyFont="1" applyFill="1" applyBorder="1" applyAlignment="1">
      <alignment horizontal="left"/>
    </xf>
    <xf numFmtId="1" fontId="3" fillId="8" borderId="12" xfId="0" applyNumberFormat="1" applyFont="1" applyFill="1" applyBorder="1" applyAlignment="1">
      <alignment horizontal="left"/>
    </xf>
    <xf numFmtId="3" fontId="3" fillId="8" borderId="26" xfId="0" applyNumberFormat="1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1" fontId="4" fillId="0" borderId="5" xfId="0" applyNumberFormat="1" applyFont="1" applyBorder="1" applyAlignment="1">
      <alignment horizontal="left"/>
    </xf>
    <xf numFmtId="3" fontId="4" fillId="0" borderId="5" xfId="1" applyNumberFormat="1" applyFont="1" applyBorder="1" applyAlignment="1">
      <alignment horizontal="left"/>
    </xf>
    <xf numFmtId="3" fontId="4" fillId="0" borderId="5" xfId="0" applyNumberFormat="1" applyFont="1" applyBorder="1" applyAlignment="1">
      <alignment horizontal="left"/>
    </xf>
    <xf numFmtId="3" fontId="4" fillId="0" borderId="6" xfId="1" applyNumberFormat="1" applyFont="1" applyBorder="1" applyAlignment="1">
      <alignment horizontal="left"/>
    </xf>
    <xf numFmtId="164" fontId="3" fillId="8" borderId="1" xfId="0" applyNumberFormat="1" applyFont="1" applyFill="1" applyBorder="1" applyAlignment="1">
      <alignment horizontal="left"/>
    </xf>
    <xf numFmtId="1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3" fontId="4" fillId="11" borderId="19" xfId="0" applyNumberFormat="1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left"/>
    </xf>
    <xf numFmtId="165" fontId="4" fillId="11" borderId="1" xfId="0" applyNumberFormat="1" applyFont="1" applyFill="1" applyBorder="1" applyAlignment="1">
      <alignment horizontal="left"/>
    </xf>
    <xf numFmtId="165" fontId="4" fillId="11" borderId="35" xfId="0" applyNumberFormat="1" applyFont="1" applyFill="1" applyBorder="1" applyAlignment="1">
      <alignment horizontal="left"/>
    </xf>
    <xf numFmtId="3" fontId="3" fillId="12" borderId="1" xfId="0" applyNumberFormat="1" applyFont="1" applyFill="1" applyBorder="1" applyAlignment="1">
      <alignment horizontal="left"/>
    </xf>
    <xf numFmtId="3" fontId="3" fillId="12" borderId="1" xfId="1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center"/>
    </xf>
    <xf numFmtId="1" fontId="3" fillId="12" borderId="1" xfId="0" applyNumberFormat="1" applyFont="1" applyFill="1" applyBorder="1" applyAlignment="1">
      <alignment horizontal="left"/>
    </xf>
    <xf numFmtId="0" fontId="3" fillId="6" borderId="26" xfId="0" applyFont="1" applyFill="1" applyBorder="1" applyAlignment="1">
      <alignment vertical="center"/>
    </xf>
    <xf numFmtId="0" fontId="3" fillId="6" borderId="10" xfId="0" applyFont="1" applyFill="1" applyBorder="1" applyAlignment="1">
      <alignment horizontal="left"/>
    </xf>
    <xf numFmtId="0" fontId="3" fillId="6" borderId="15" xfId="0" applyFont="1" applyFill="1" applyBorder="1" applyAlignment="1">
      <alignment horizontal="left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13" borderId="10" xfId="0" applyFill="1" applyBorder="1" applyAlignment="1">
      <alignment horizontal="center" vertical="center"/>
    </xf>
    <xf numFmtId="3" fontId="3" fillId="15" borderId="51" xfId="1" applyNumberFormat="1" applyFont="1" applyFill="1" applyBorder="1" applyAlignment="1">
      <alignment horizontal="center" vertical="center"/>
    </xf>
    <xf numFmtId="3" fontId="7" fillId="15" borderId="44" xfId="1" applyNumberFormat="1" applyFont="1" applyFill="1" applyBorder="1" applyAlignment="1">
      <alignment horizontal="center" vertical="center"/>
    </xf>
    <xf numFmtId="4" fontId="3" fillId="14" borderId="10" xfId="0" applyNumberFormat="1" applyFont="1" applyFill="1" applyBorder="1" applyAlignment="1">
      <alignment horizontal="center" vertical="center"/>
    </xf>
    <xf numFmtId="4" fontId="3" fillId="16" borderId="1" xfId="0" applyNumberFormat="1" applyFont="1" applyFill="1" applyBorder="1" applyAlignment="1">
      <alignment horizontal="center" vertical="center"/>
    </xf>
    <xf numFmtId="4" fontId="3" fillId="14" borderId="1" xfId="0" applyNumberFormat="1" applyFont="1" applyFill="1" applyBorder="1" applyAlignment="1">
      <alignment horizontal="center" vertical="center"/>
    </xf>
    <xf numFmtId="3" fontId="3" fillId="0" borderId="0" xfId="1" applyNumberFormat="1" applyFont="1" applyFill="1" applyAlignment="1">
      <alignment horizontal="left"/>
    </xf>
    <xf numFmtId="3" fontId="4" fillId="0" borderId="6" xfId="1" applyNumberFormat="1" applyFont="1" applyFill="1" applyBorder="1" applyAlignment="1">
      <alignment horizontal="left"/>
    </xf>
    <xf numFmtId="3" fontId="4" fillId="0" borderId="3" xfId="1" applyNumberFormat="1" applyFont="1" applyFill="1" applyBorder="1" applyAlignment="1">
      <alignment horizontal="left"/>
    </xf>
    <xf numFmtId="3" fontId="4" fillId="0" borderId="20" xfId="1" applyNumberFormat="1" applyFont="1" applyFill="1" applyBorder="1" applyAlignment="1">
      <alignment horizontal="left"/>
    </xf>
    <xf numFmtId="3" fontId="0" fillId="0" borderId="0" xfId="1" applyNumberFormat="1" applyFont="1" applyFill="1" applyAlignment="1">
      <alignment horizontal="left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0" fontId="0" fillId="14" borderId="0" xfId="0" applyFill="1" applyAlignment="1">
      <alignment horizontal="left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3" fontId="3" fillId="3" borderId="5" xfId="1" applyNumberFormat="1" applyFont="1" applyFill="1" applyBorder="1" applyAlignment="1">
      <alignment horizontal="left"/>
    </xf>
    <xf numFmtId="3" fontId="3" fillId="3" borderId="1" xfId="1" applyNumberFormat="1" applyFont="1" applyFill="1" applyBorder="1" applyAlignment="1">
      <alignment horizontal="left"/>
    </xf>
    <xf numFmtId="3" fontId="3" fillId="2" borderId="12" xfId="1" applyNumberFormat="1" applyFont="1" applyFill="1" applyBorder="1" applyAlignment="1">
      <alignment horizontal="left"/>
    </xf>
    <xf numFmtId="3" fontId="3" fillId="2" borderId="5" xfId="1" applyNumberFormat="1" applyFont="1" applyFill="1" applyBorder="1" applyAlignment="1">
      <alignment horizontal="left"/>
    </xf>
    <xf numFmtId="3" fontId="3" fillId="5" borderId="1" xfId="1" applyNumberFormat="1" applyFont="1" applyFill="1" applyBorder="1" applyAlignment="1">
      <alignment horizontal="left"/>
    </xf>
    <xf numFmtId="0" fontId="3" fillId="8" borderId="12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vertical="center"/>
    </xf>
    <xf numFmtId="0" fontId="3" fillId="6" borderId="26" xfId="0" applyFont="1" applyFill="1" applyBorder="1" applyAlignment="1">
      <alignment vertical="center"/>
    </xf>
    <xf numFmtId="0" fontId="3" fillId="6" borderId="5" xfId="0" applyFont="1" applyFill="1" applyBorder="1" applyAlignment="1">
      <alignment vertical="center"/>
    </xf>
    <xf numFmtId="3" fontId="3" fillId="4" borderId="12" xfId="1" applyNumberFormat="1" applyFont="1" applyFill="1" applyBorder="1" applyAlignment="1"/>
    <xf numFmtId="3" fontId="3" fillId="4" borderId="26" xfId="1" applyNumberFormat="1" applyFont="1" applyFill="1" applyBorder="1" applyAlignment="1"/>
    <xf numFmtId="3" fontId="3" fillId="4" borderId="5" xfId="1" applyNumberFormat="1" applyFont="1" applyFill="1" applyBorder="1" applyAlignment="1"/>
    <xf numFmtId="3" fontId="3" fillId="4" borderId="11" xfId="1" applyNumberFormat="1" applyFont="1" applyFill="1" applyBorder="1" applyAlignment="1">
      <alignment horizontal="center"/>
    </xf>
    <xf numFmtId="3" fontId="3" fillId="4" borderId="31" xfId="1" applyNumberFormat="1" applyFont="1" applyFill="1" applyBorder="1" applyAlignment="1">
      <alignment horizontal="center"/>
    </xf>
    <xf numFmtId="3" fontId="3" fillId="4" borderId="6" xfId="1" applyNumberFormat="1" applyFont="1" applyFill="1" applyBorder="1" applyAlignment="1">
      <alignment horizontal="center"/>
    </xf>
    <xf numFmtId="3" fontId="3" fillId="6" borderId="12" xfId="1" applyNumberFormat="1" applyFont="1" applyFill="1" applyBorder="1" applyAlignment="1">
      <alignment horizontal="left"/>
    </xf>
    <xf numFmtId="3" fontId="3" fillId="6" borderId="26" xfId="1" applyNumberFormat="1" applyFont="1" applyFill="1" applyBorder="1" applyAlignment="1">
      <alignment horizontal="left"/>
    </xf>
    <xf numFmtId="3" fontId="3" fillId="6" borderId="5" xfId="1" applyNumberFormat="1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26" xfId="0" applyNumberFormat="1" applyFont="1" applyFill="1" applyBorder="1" applyAlignment="1">
      <alignment horizontal="center" vertical="center"/>
    </xf>
    <xf numFmtId="164" fontId="3" fillId="3" borderId="5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26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3" fontId="3" fillId="3" borderId="6" xfId="1" applyNumberFormat="1" applyFont="1" applyFill="1" applyBorder="1" applyAlignment="1">
      <alignment horizontal="center"/>
    </xf>
    <xf numFmtId="3" fontId="3" fillId="3" borderId="3" xfId="1" applyNumberFormat="1" applyFont="1" applyFill="1" applyBorder="1" applyAlignment="1">
      <alignment horizontal="center"/>
    </xf>
    <xf numFmtId="3" fontId="3" fillId="2" borderId="11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5" borderId="3" xfId="1" applyNumberFormat="1" applyFont="1" applyFill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3" fontId="3" fillId="6" borderId="11" xfId="1" applyNumberFormat="1" applyFont="1" applyFill="1" applyBorder="1" applyAlignment="1">
      <alignment horizontal="center"/>
    </xf>
    <xf numFmtId="3" fontId="3" fillId="6" borderId="31" xfId="1" applyNumberFormat="1" applyFont="1" applyFill="1" applyBorder="1" applyAlignment="1">
      <alignment horizontal="center"/>
    </xf>
    <xf numFmtId="3" fontId="3" fillId="6" borderId="6" xfId="1" applyNumberFormat="1" applyFont="1" applyFill="1" applyBorder="1" applyAlignment="1">
      <alignment horizontal="center"/>
    </xf>
    <xf numFmtId="3" fontId="3" fillId="8" borderId="12" xfId="1" applyNumberFormat="1" applyFont="1" applyFill="1" applyBorder="1" applyAlignment="1">
      <alignment horizontal="left"/>
    </xf>
    <xf numFmtId="3" fontId="3" fillId="8" borderId="26" xfId="1" applyNumberFormat="1" applyFont="1" applyFill="1" applyBorder="1" applyAlignment="1">
      <alignment horizontal="left"/>
    </xf>
    <xf numFmtId="3" fontId="3" fillId="8" borderId="11" xfId="1" applyNumberFormat="1" applyFont="1" applyFill="1" applyBorder="1" applyAlignment="1">
      <alignment horizontal="left"/>
    </xf>
    <xf numFmtId="3" fontId="3" fillId="8" borderId="31" xfId="1" applyNumberFormat="1" applyFont="1" applyFill="1" applyBorder="1" applyAlignment="1">
      <alignment horizontal="left"/>
    </xf>
    <xf numFmtId="0" fontId="4" fillId="0" borderId="33" xfId="0" applyFont="1" applyBorder="1" applyAlignment="1">
      <alignment horizontal="left" wrapText="1"/>
    </xf>
    <xf numFmtId="0" fontId="4" fillId="0" borderId="34" xfId="0" applyFont="1" applyBorder="1" applyAlignment="1">
      <alignment horizontal="left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4" fontId="3" fillId="13" borderId="13" xfId="0" applyNumberFormat="1" applyFont="1" applyFill="1" applyBorder="1" applyAlignment="1">
      <alignment horizontal="center" vertical="center"/>
    </xf>
    <xf numFmtId="4" fontId="3" fillId="1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14" borderId="12" xfId="0" applyNumberFormat="1" applyFont="1" applyFill="1" applyBorder="1" applyAlignment="1">
      <alignment horizontal="center" vertical="center"/>
    </xf>
    <xf numFmtId="4" fontId="3" fillId="14" borderId="5" xfId="0" applyNumberFormat="1" applyFont="1" applyFill="1" applyBorder="1" applyAlignment="1">
      <alignment horizontal="center" vertical="center"/>
    </xf>
    <xf numFmtId="4" fontId="3" fillId="16" borderId="12" xfId="0" applyNumberFormat="1" applyFont="1" applyFill="1" applyBorder="1" applyAlignment="1">
      <alignment horizontal="center" vertical="center"/>
    </xf>
    <xf numFmtId="4" fontId="3" fillId="16" borderId="5" xfId="0" applyNumberFormat="1" applyFont="1" applyFill="1" applyBorder="1" applyAlignment="1">
      <alignment horizontal="center" vertical="center"/>
    </xf>
    <xf numFmtId="4" fontId="3" fillId="14" borderId="26" xfId="0" applyNumberFormat="1" applyFont="1" applyFill="1" applyBorder="1" applyAlignment="1">
      <alignment horizontal="center" vertical="center"/>
    </xf>
    <xf numFmtId="4" fontId="3" fillId="16" borderId="26" xfId="0" applyNumberFormat="1" applyFont="1" applyFill="1" applyBorder="1" applyAlignment="1">
      <alignment horizontal="center" vertical="center"/>
    </xf>
    <xf numFmtId="4" fontId="3" fillId="14" borderId="13" xfId="0" applyNumberFormat="1" applyFont="1" applyFill="1" applyBorder="1" applyAlignment="1">
      <alignment horizontal="center" vertical="center"/>
    </xf>
    <xf numFmtId="0" fontId="3" fillId="0" borderId="4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3" fontId="4" fillId="0" borderId="41" xfId="1" applyNumberFormat="1" applyFont="1" applyBorder="1" applyAlignment="1">
      <alignment horizontal="center" vertical="center" wrapText="1"/>
    </xf>
    <xf numFmtId="3" fontId="4" fillId="0" borderId="40" xfId="1" applyNumberFormat="1" applyFont="1" applyBorder="1" applyAlignment="1">
      <alignment horizontal="center" vertical="center" wrapText="1"/>
    </xf>
    <xf numFmtId="3" fontId="4" fillId="0" borderId="39" xfId="1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" fontId="4" fillId="0" borderId="41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3" fontId="6" fillId="15" borderId="43" xfId="1" applyNumberFormat="1" applyFont="1" applyFill="1" applyBorder="1" applyAlignment="1">
      <alignment horizontal="center" vertical="center" wrapText="1"/>
    </xf>
    <xf numFmtId="3" fontId="4" fillId="15" borderId="44" xfId="1" applyNumberFormat="1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3" fontId="3" fillId="15" borderId="49" xfId="1" applyNumberFormat="1" applyFont="1" applyFill="1" applyBorder="1" applyAlignment="1">
      <alignment horizontal="center" vertical="center"/>
    </xf>
    <xf numFmtId="3" fontId="3" fillId="15" borderId="50" xfId="1" applyNumberFormat="1" applyFont="1" applyFill="1" applyBorder="1" applyAlignment="1">
      <alignment horizontal="center" vertical="center"/>
    </xf>
    <xf numFmtId="4" fontId="3" fillId="14" borderId="48" xfId="0" applyNumberFormat="1" applyFont="1" applyFill="1" applyBorder="1" applyAlignment="1">
      <alignment horizontal="center" vertical="center"/>
    </xf>
    <xf numFmtId="4" fontId="3" fillId="14" borderId="29" xfId="0" applyNumberFormat="1" applyFont="1" applyFill="1" applyBorder="1" applyAlignment="1">
      <alignment horizontal="center" vertical="center"/>
    </xf>
    <xf numFmtId="3" fontId="3" fillId="15" borderId="51" xfId="1" applyNumberFormat="1" applyFont="1" applyFill="1" applyBorder="1" applyAlignment="1">
      <alignment horizontal="center" vertical="center"/>
    </xf>
    <xf numFmtId="3" fontId="3" fillId="15" borderId="52" xfId="1" applyNumberFormat="1" applyFont="1" applyFill="1" applyBorder="1" applyAlignment="1">
      <alignment horizontal="center" vertical="center"/>
    </xf>
    <xf numFmtId="0" fontId="0" fillId="15" borderId="49" xfId="0" applyFill="1" applyBorder="1" applyAlignment="1">
      <alignment horizontal="center" vertical="center"/>
    </xf>
    <xf numFmtId="4" fontId="3" fillId="14" borderId="47" xfId="0" applyNumberFormat="1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8"/>
  <sheetViews>
    <sheetView topLeftCell="E19" workbookViewId="0">
      <selection activeCell="P26" sqref="P26:S26"/>
    </sheetView>
  </sheetViews>
  <sheetFormatPr defaultColWidth="9.109375" defaultRowHeight="14.4" x14ac:dyDescent="0.3"/>
  <cols>
    <col min="1" max="1" width="3.88671875" style="1" customWidth="1"/>
    <col min="2" max="2" width="3.5546875" style="1" bestFit="1" customWidth="1"/>
    <col min="3" max="3" width="27.109375" style="2" bestFit="1" customWidth="1"/>
    <col min="4" max="4" width="8.33203125" style="1" customWidth="1"/>
    <col min="5" max="5" width="24.109375" style="1" bestFit="1" customWidth="1"/>
    <col min="6" max="6" width="5.88671875" style="1" bestFit="1" customWidth="1"/>
    <col min="7" max="7" width="5.33203125" style="1" bestFit="1" customWidth="1"/>
    <col min="8" max="8" width="4.5546875" style="3" bestFit="1" customWidth="1"/>
    <col min="9" max="9" width="5.33203125" style="1" customWidth="1"/>
    <col min="10" max="10" width="4.88671875" style="1" bestFit="1" customWidth="1"/>
    <col min="11" max="11" width="6.6640625" style="103" customWidth="1"/>
    <col min="12" max="12" width="8.6640625" style="4" customWidth="1"/>
    <col min="13" max="13" width="9.6640625" style="103" customWidth="1"/>
    <col min="14" max="14" width="12.5546875" style="103" customWidth="1"/>
    <col min="15" max="15" width="9.109375" style="1"/>
    <col min="16" max="16" width="34.109375" style="1" bestFit="1" customWidth="1"/>
    <col min="17" max="17" width="16" style="1" bestFit="1" customWidth="1"/>
    <col min="18" max="18" width="10.44140625" style="1" bestFit="1" customWidth="1"/>
    <col min="19" max="19" width="11.109375" style="1" bestFit="1" customWidth="1"/>
    <col min="20" max="20" width="13.88671875" style="1" bestFit="1" customWidth="1"/>
    <col min="21" max="21" width="16.33203125" style="1" bestFit="1" customWidth="1"/>
    <col min="22" max="16384" width="9.109375" style="1"/>
  </cols>
  <sheetData>
    <row r="1" spans="1:21" ht="15" thickBot="1" x14ac:dyDescent="0.35">
      <c r="A1" s="7"/>
      <c r="B1" s="7"/>
      <c r="C1" s="8"/>
      <c r="D1" s="7"/>
      <c r="E1" s="7"/>
      <c r="F1" s="7"/>
      <c r="G1" s="7"/>
      <c r="H1" s="9"/>
      <c r="I1" s="7"/>
      <c r="J1" s="7"/>
      <c r="K1" s="86"/>
      <c r="L1" s="10"/>
      <c r="M1" s="86"/>
      <c r="N1" s="86"/>
      <c r="O1" s="7"/>
    </row>
    <row r="2" spans="1:21" s="5" customFormat="1" ht="33" customHeight="1" thickBot="1" x14ac:dyDescent="0.35">
      <c r="A2" s="12"/>
      <c r="B2" s="13"/>
      <c r="C2" s="13"/>
      <c r="D2" s="13" t="s">
        <v>22</v>
      </c>
      <c r="E2" s="14"/>
      <c r="F2" s="12" t="s">
        <v>2</v>
      </c>
      <c r="G2" s="13" t="s">
        <v>3</v>
      </c>
      <c r="H2" s="15" t="s">
        <v>4</v>
      </c>
      <c r="I2" s="13" t="s">
        <v>12</v>
      </c>
      <c r="J2" s="13" t="s">
        <v>5</v>
      </c>
      <c r="K2" s="87" t="s">
        <v>6</v>
      </c>
      <c r="L2" s="16" t="s">
        <v>40</v>
      </c>
      <c r="M2" s="87" t="s">
        <v>39</v>
      </c>
      <c r="N2" s="88" t="s">
        <v>52</v>
      </c>
      <c r="O2" s="8"/>
    </row>
    <row r="3" spans="1:21" s="6" customFormat="1" x14ac:dyDescent="0.3">
      <c r="A3" s="17" t="s">
        <v>7</v>
      </c>
      <c r="B3" s="18" t="s">
        <v>8</v>
      </c>
      <c r="C3" s="19" t="s">
        <v>27</v>
      </c>
      <c r="D3" s="198" t="s">
        <v>0</v>
      </c>
      <c r="E3" s="20" t="s">
        <v>1</v>
      </c>
      <c r="F3" s="17">
        <v>0</v>
      </c>
      <c r="G3" s="18">
        <v>0.73899999999999999</v>
      </c>
      <c r="H3" s="21">
        <v>739</v>
      </c>
      <c r="I3" s="21">
        <f>H3*3</f>
        <v>2217</v>
      </c>
      <c r="J3" s="18" t="s">
        <v>56</v>
      </c>
      <c r="K3" s="89">
        <v>1200</v>
      </c>
      <c r="L3" s="22">
        <f t="shared" ref="L3:L10" si="0">I3*K3</f>
        <v>2660400</v>
      </c>
      <c r="M3" s="176">
        <f>(SUM(L3:L5)*1.1)+((SUM(L3:L5)*1.1)*0.045)</f>
        <v>10132382.699999999</v>
      </c>
      <c r="N3" s="209">
        <f>M3*0.045</f>
        <v>455957.22149999993</v>
      </c>
      <c r="O3" s="23"/>
    </row>
    <row r="4" spans="1:21" x14ac:dyDescent="0.3">
      <c r="A4" s="24" t="s">
        <v>7</v>
      </c>
      <c r="B4" s="25" t="s">
        <v>10</v>
      </c>
      <c r="C4" s="26" t="s">
        <v>28</v>
      </c>
      <c r="D4" s="199"/>
      <c r="E4" s="27" t="s">
        <v>46</v>
      </c>
      <c r="F4" s="28">
        <v>0</v>
      </c>
      <c r="G4" s="29">
        <v>1.006</v>
      </c>
      <c r="H4" s="30">
        <v>1006</v>
      </c>
      <c r="I4" s="25">
        <f>H4*3</f>
        <v>3018</v>
      </c>
      <c r="J4" s="25" t="s">
        <v>9</v>
      </c>
      <c r="K4" s="90">
        <v>1500</v>
      </c>
      <c r="L4" s="31">
        <f t="shared" si="0"/>
        <v>4527000</v>
      </c>
      <c r="M4" s="177"/>
      <c r="N4" s="210"/>
      <c r="O4" s="7"/>
    </row>
    <row r="5" spans="1:21" x14ac:dyDescent="0.3">
      <c r="A5" s="24" t="s">
        <v>13</v>
      </c>
      <c r="B5" s="25" t="s">
        <v>11</v>
      </c>
      <c r="C5" s="26" t="s">
        <v>29</v>
      </c>
      <c r="D5" s="200"/>
      <c r="E5" s="27" t="s">
        <v>1</v>
      </c>
      <c r="F5" s="28">
        <v>0</v>
      </c>
      <c r="G5" s="25">
        <v>0.45200000000000001</v>
      </c>
      <c r="H5" s="30">
        <v>452</v>
      </c>
      <c r="I5" s="25">
        <f>H5*3</f>
        <v>1356</v>
      </c>
      <c r="J5" s="25" t="s">
        <v>9</v>
      </c>
      <c r="K5" s="90">
        <v>1200</v>
      </c>
      <c r="L5" s="31">
        <f t="shared" si="0"/>
        <v>1627200</v>
      </c>
      <c r="M5" s="177"/>
      <c r="N5" s="210"/>
      <c r="O5" s="7"/>
    </row>
    <row r="6" spans="1:21" x14ac:dyDescent="0.3">
      <c r="A6" s="35" t="s">
        <v>26</v>
      </c>
      <c r="B6" s="36"/>
      <c r="C6" s="37" t="s">
        <v>31</v>
      </c>
      <c r="D6" s="201" t="s">
        <v>24</v>
      </c>
      <c r="E6" s="27" t="s">
        <v>46</v>
      </c>
      <c r="F6" s="38">
        <v>0</v>
      </c>
      <c r="G6" s="36">
        <v>0</v>
      </c>
      <c r="H6" s="39">
        <v>0</v>
      </c>
      <c r="I6" s="39">
        <f t="shared" ref="I6:I23" si="1">H6*3</f>
        <v>0</v>
      </c>
      <c r="J6" s="36" t="s">
        <v>9</v>
      </c>
      <c r="K6" s="91">
        <v>1500</v>
      </c>
      <c r="L6" s="40">
        <f t="shared" si="0"/>
        <v>0</v>
      </c>
      <c r="M6" s="178">
        <f>(SUM(L6:L7)*1.1)+((SUM(L6:L7)*1.1)*0.045)</f>
        <v>2627757</v>
      </c>
      <c r="N6" s="211">
        <f>M6*0.045</f>
        <v>118249.065</v>
      </c>
      <c r="O6" s="7"/>
    </row>
    <row r="7" spans="1:21" x14ac:dyDescent="0.3">
      <c r="A7" s="35" t="s">
        <v>25</v>
      </c>
      <c r="B7" s="36"/>
      <c r="C7" s="37" t="s">
        <v>30</v>
      </c>
      <c r="D7" s="202"/>
      <c r="E7" s="41" t="s">
        <v>1</v>
      </c>
      <c r="F7" s="38">
        <v>0</v>
      </c>
      <c r="G7" s="36">
        <v>0.63500000000000001</v>
      </c>
      <c r="H7" s="39">
        <v>635</v>
      </c>
      <c r="I7" s="36">
        <f t="shared" si="1"/>
        <v>1905</v>
      </c>
      <c r="J7" s="42" t="s">
        <v>56</v>
      </c>
      <c r="K7" s="91">
        <v>1200</v>
      </c>
      <c r="L7" s="40">
        <f t="shared" si="0"/>
        <v>2286000</v>
      </c>
      <c r="M7" s="179"/>
      <c r="N7" s="212"/>
      <c r="O7" s="7"/>
    </row>
    <row r="8" spans="1:21" x14ac:dyDescent="0.3">
      <c r="A8" s="43"/>
      <c r="B8" s="44"/>
      <c r="C8" s="45" t="s">
        <v>47</v>
      </c>
      <c r="D8" s="203" t="s">
        <v>32</v>
      </c>
      <c r="E8" s="46" t="s">
        <v>46</v>
      </c>
      <c r="F8" s="47">
        <v>0.13300000000000001</v>
      </c>
      <c r="G8" s="44">
        <v>0.3</v>
      </c>
      <c r="H8" s="48">
        <v>167</v>
      </c>
      <c r="I8" s="44">
        <f t="shared" si="1"/>
        <v>501</v>
      </c>
      <c r="J8" s="44" t="s">
        <v>9</v>
      </c>
      <c r="K8" s="92">
        <v>1500</v>
      </c>
      <c r="L8" s="49">
        <f t="shared" si="0"/>
        <v>751500</v>
      </c>
      <c r="M8" s="180">
        <f>(SUM(L8:L11)*1.1)+((SUM(L8:L11)*1.1)*0.045)</f>
        <v>4987910.4000000004</v>
      </c>
      <c r="N8" s="213">
        <f>M8*0.045</f>
        <v>224455.96800000002</v>
      </c>
      <c r="O8" s="7"/>
    </row>
    <row r="9" spans="1:21" ht="39.75" customHeight="1" x14ac:dyDescent="0.3">
      <c r="A9" s="43"/>
      <c r="B9" s="44"/>
      <c r="C9" s="45" t="s">
        <v>38</v>
      </c>
      <c r="D9" s="204"/>
      <c r="E9" s="46" t="s">
        <v>46</v>
      </c>
      <c r="F9" s="47">
        <v>0.3</v>
      </c>
      <c r="G9" s="44">
        <v>0.85699999999999998</v>
      </c>
      <c r="H9" s="48">
        <v>557</v>
      </c>
      <c r="I9" s="48">
        <f t="shared" si="1"/>
        <v>1671</v>
      </c>
      <c r="J9" s="44" t="s">
        <v>9</v>
      </c>
      <c r="K9" s="92">
        <v>1500</v>
      </c>
      <c r="L9" s="49">
        <f t="shared" si="0"/>
        <v>2506500</v>
      </c>
      <c r="M9" s="180"/>
      <c r="N9" s="213"/>
      <c r="O9" s="7"/>
    </row>
    <row r="10" spans="1:21" x14ac:dyDescent="0.3">
      <c r="A10" s="43"/>
      <c r="B10" s="44"/>
      <c r="C10" s="45" t="s">
        <v>33</v>
      </c>
      <c r="D10" s="204"/>
      <c r="E10" s="46" t="s">
        <v>1</v>
      </c>
      <c r="F10" s="47">
        <v>0</v>
      </c>
      <c r="G10" s="44">
        <v>0.217</v>
      </c>
      <c r="H10" s="48">
        <v>217</v>
      </c>
      <c r="I10" s="44">
        <f t="shared" si="1"/>
        <v>651</v>
      </c>
      <c r="J10" s="44" t="s">
        <v>9</v>
      </c>
      <c r="K10" s="92">
        <v>1200</v>
      </c>
      <c r="L10" s="49">
        <f t="shared" si="0"/>
        <v>781200</v>
      </c>
      <c r="M10" s="180"/>
      <c r="N10" s="213"/>
      <c r="O10" s="7"/>
      <c r="P10" s="7"/>
      <c r="Q10" s="7"/>
      <c r="R10" s="7"/>
      <c r="S10" s="7"/>
    </row>
    <row r="11" spans="1:21" x14ac:dyDescent="0.3">
      <c r="A11" s="43" t="s">
        <v>18</v>
      </c>
      <c r="B11" s="44"/>
      <c r="C11" s="45"/>
      <c r="D11" s="205"/>
      <c r="E11" s="46" t="s">
        <v>19</v>
      </c>
      <c r="F11" s="43"/>
      <c r="G11" s="50"/>
      <c r="H11" s="48">
        <v>5.4</v>
      </c>
      <c r="I11" s="44">
        <v>11</v>
      </c>
      <c r="J11" s="50" t="s">
        <v>56</v>
      </c>
      <c r="K11" s="92">
        <v>20000</v>
      </c>
      <c r="L11" s="49">
        <v>300000</v>
      </c>
      <c r="M11" s="180"/>
      <c r="N11" s="213"/>
      <c r="O11" s="7"/>
      <c r="P11" s="7"/>
      <c r="Q11" s="7"/>
      <c r="R11" s="7"/>
      <c r="S11" s="7"/>
    </row>
    <row r="12" spans="1:21" x14ac:dyDescent="0.3">
      <c r="A12" s="32" t="s">
        <v>7</v>
      </c>
      <c r="B12" s="51" t="s">
        <v>15</v>
      </c>
      <c r="C12" s="52" t="s">
        <v>34</v>
      </c>
      <c r="D12" s="206" t="s">
        <v>16</v>
      </c>
      <c r="E12" s="53" t="s">
        <v>17</v>
      </c>
      <c r="F12" s="54">
        <v>0</v>
      </c>
      <c r="G12" s="55">
        <v>0.37</v>
      </c>
      <c r="H12" s="56">
        <v>370</v>
      </c>
      <c r="I12" s="56">
        <f>H12*3</f>
        <v>1110</v>
      </c>
      <c r="J12" s="51" t="s">
        <v>9</v>
      </c>
      <c r="K12" s="93">
        <v>1200</v>
      </c>
      <c r="L12" s="57">
        <f>I12*K12</f>
        <v>1332000</v>
      </c>
      <c r="M12" s="186">
        <f>(SUM(L12:L17)*1.1)+((SUM(L12:L17)*1.1)*0.045)-L17*0.5</f>
        <v>10854559.199999999</v>
      </c>
      <c r="N12" s="189">
        <f>M12*0.045</f>
        <v>488455.16399999993</v>
      </c>
      <c r="O12" s="7"/>
      <c r="P12" s="11" t="s">
        <v>50</v>
      </c>
      <c r="Q12" s="11"/>
      <c r="R12" s="11"/>
      <c r="S12" s="11"/>
    </row>
    <row r="13" spans="1:21" ht="21.6" x14ac:dyDescent="0.3">
      <c r="A13" s="32"/>
      <c r="B13" s="51"/>
      <c r="C13" s="52" t="s">
        <v>35</v>
      </c>
      <c r="D13" s="207"/>
      <c r="E13" s="53" t="s">
        <v>17</v>
      </c>
      <c r="F13" s="54">
        <v>0</v>
      </c>
      <c r="G13" s="51">
        <v>0.46700000000000003</v>
      </c>
      <c r="H13" s="56">
        <v>467</v>
      </c>
      <c r="I13" s="51">
        <f t="shared" si="1"/>
        <v>1401</v>
      </c>
      <c r="J13" s="51" t="s">
        <v>9</v>
      </c>
      <c r="K13" s="93">
        <v>1200</v>
      </c>
      <c r="L13" s="57">
        <f>I13*K13</f>
        <v>1681200</v>
      </c>
      <c r="M13" s="187"/>
      <c r="N13" s="190"/>
      <c r="O13" s="7"/>
      <c r="P13" s="110"/>
      <c r="Q13" s="111" t="s">
        <v>44</v>
      </c>
      <c r="R13" s="111" t="s">
        <v>45</v>
      </c>
      <c r="S13" s="112" t="s">
        <v>48</v>
      </c>
      <c r="T13" s="1" t="s">
        <v>69</v>
      </c>
      <c r="U13" s="1" t="s">
        <v>45</v>
      </c>
    </row>
    <row r="14" spans="1:21" x14ac:dyDescent="0.3">
      <c r="A14" s="32"/>
      <c r="B14" s="51"/>
      <c r="C14" s="52" t="s">
        <v>36</v>
      </c>
      <c r="D14" s="207"/>
      <c r="E14" s="53" t="s">
        <v>17</v>
      </c>
      <c r="F14" s="54">
        <v>0</v>
      </c>
      <c r="G14" s="51">
        <v>1.36</v>
      </c>
      <c r="H14" s="56">
        <v>1360</v>
      </c>
      <c r="I14" s="51">
        <f t="shared" si="1"/>
        <v>4080</v>
      </c>
      <c r="J14" s="51" t="s">
        <v>9</v>
      </c>
      <c r="K14" s="93">
        <v>1200</v>
      </c>
      <c r="L14" s="57">
        <f>I14*K14</f>
        <v>4896000</v>
      </c>
      <c r="M14" s="187"/>
      <c r="N14" s="190"/>
      <c r="O14" s="7"/>
      <c r="P14" s="44" t="s">
        <v>32</v>
      </c>
      <c r="Q14" s="33">
        <v>1279</v>
      </c>
      <c r="R14" s="33">
        <f>Q14/8753</f>
        <v>0.14612132982977266</v>
      </c>
      <c r="S14" s="113">
        <f>9980000*R14</f>
        <v>1458290.8717011311</v>
      </c>
      <c r="T14" s="3">
        <f>SUM(H8:H11)</f>
        <v>946.4</v>
      </c>
      <c r="U14" s="6">
        <f>T14/T21</f>
        <v>0.10024998940722851</v>
      </c>
    </row>
    <row r="15" spans="1:21" x14ac:dyDescent="0.3">
      <c r="A15" s="32"/>
      <c r="B15" s="51"/>
      <c r="C15" s="52"/>
      <c r="D15" s="207"/>
      <c r="E15" s="53" t="s">
        <v>19</v>
      </c>
      <c r="F15" s="54"/>
      <c r="G15" s="51"/>
      <c r="H15" s="56">
        <v>6</v>
      </c>
      <c r="I15" s="51">
        <v>13</v>
      </c>
      <c r="J15" s="51" t="s">
        <v>9</v>
      </c>
      <c r="K15" s="93">
        <v>20000</v>
      </c>
      <c r="L15" s="57">
        <v>300000</v>
      </c>
      <c r="M15" s="187"/>
      <c r="N15" s="190"/>
      <c r="O15" s="7"/>
      <c r="P15" s="51" t="s">
        <v>16</v>
      </c>
      <c r="Q15" s="33">
        <v>1089</v>
      </c>
      <c r="R15" s="33">
        <f t="shared" ref="R15:R21" si="2">Q15/8753</f>
        <v>0.12441448646178453</v>
      </c>
      <c r="S15" s="113">
        <f t="shared" ref="S15:S20" si="3">9980000*R15</f>
        <v>1241656.5748886096</v>
      </c>
      <c r="T15" s="1">
        <f>SUM(H12:H17)-0.5*H17</f>
        <v>2437.5</v>
      </c>
      <c r="U15" s="6">
        <f t="shared" ref="U15:U20" si="4">T15/$T$21</f>
        <v>0.25819880513537563</v>
      </c>
    </row>
    <row r="16" spans="1:21" x14ac:dyDescent="0.3">
      <c r="A16" s="32"/>
      <c r="B16" s="51"/>
      <c r="C16" s="52"/>
      <c r="D16" s="208"/>
      <c r="E16" s="53" t="s">
        <v>19</v>
      </c>
      <c r="F16" s="32"/>
      <c r="G16" s="51"/>
      <c r="H16" s="56">
        <v>5</v>
      </c>
      <c r="I16" s="56">
        <v>11</v>
      </c>
      <c r="J16" s="55" t="s">
        <v>56</v>
      </c>
      <c r="K16" s="93">
        <v>20000</v>
      </c>
      <c r="L16" s="57">
        <v>300000</v>
      </c>
      <c r="M16" s="187"/>
      <c r="N16" s="190"/>
      <c r="O16" s="7"/>
      <c r="P16" s="58" t="s">
        <v>20</v>
      </c>
      <c r="Q16" s="33">
        <v>2257</v>
      </c>
      <c r="R16" s="33">
        <f t="shared" si="2"/>
        <v>0.25785444990289041</v>
      </c>
      <c r="S16" s="113">
        <f t="shared" si="3"/>
        <v>2573387.4100308465</v>
      </c>
      <c r="T16" s="1">
        <f>SUM(H17:H22)-0.5*H17</f>
        <v>1720.5</v>
      </c>
      <c r="U16" s="6">
        <f t="shared" si="4"/>
        <v>0.18224863353247744</v>
      </c>
    </row>
    <row r="17" spans="1:21" x14ac:dyDescent="0.3">
      <c r="A17" s="32"/>
      <c r="B17" s="51"/>
      <c r="C17" s="52"/>
      <c r="D17" s="104" t="s">
        <v>57</v>
      </c>
      <c r="E17" s="53" t="s">
        <v>58</v>
      </c>
      <c r="F17" s="32"/>
      <c r="G17" s="51"/>
      <c r="H17" s="56">
        <v>459</v>
      </c>
      <c r="I17" s="56">
        <f>H17*3</f>
        <v>1377</v>
      </c>
      <c r="J17" s="55" t="s">
        <v>56</v>
      </c>
      <c r="K17" s="105">
        <v>1200</v>
      </c>
      <c r="L17" s="57">
        <f>K17*I17</f>
        <v>1652400</v>
      </c>
      <c r="M17" s="188"/>
      <c r="N17" s="191"/>
      <c r="O17" s="7"/>
      <c r="P17" s="69" t="s">
        <v>23</v>
      </c>
      <c r="Q17" s="33">
        <v>635</v>
      </c>
      <c r="R17" s="33">
        <f t="shared" si="2"/>
        <v>7.2546555466697138E-2</v>
      </c>
      <c r="S17" s="113">
        <f t="shared" si="3"/>
        <v>724014.62355763745</v>
      </c>
      <c r="T17" s="3">
        <f>SUM(H23:H24)</f>
        <v>1504</v>
      </c>
      <c r="U17" s="6">
        <f t="shared" si="4"/>
        <v>0.15931528325070973</v>
      </c>
    </row>
    <row r="18" spans="1:21" x14ac:dyDescent="0.3">
      <c r="A18" s="34"/>
      <c r="B18" s="58"/>
      <c r="C18" s="59" t="s">
        <v>41</v>
      </c>
      <c r="D18" s="183" t="s">
        <v>20</v>
      </c>
      <c r="E18" s="60" t="s">
        <v>17</v>
      </c>
      <c r="F18" s="34">
        <v>1.36</v>
      </c>
      <c r="G18" s="58">
        <v>1.88</v>
      </c>
      <c r="H18" s="61">
        <v>520</v>
      </c>
      <c r="I18" s="58">
        <f t="shared" si="1"/>
        <v>1560</v>
      </c>
      <c r="J18" s="58" t="s">
        <v>9</v>
      </c>
      <c r="K18" s="94">
        <v>1200</v>
      </c>
      <c r="L18" s="62">
        <f>I18*K18</f>
        <v>1872000</v>
      </c>
      <c r="M18" s="192">
        <f>(SUM(L18:L21)*1.1)+((SUM(L18:L21)*1.1)*0.045)+L17*0.5</f>
        <v>6901077.6000000006</v>
      </c>
      <c r="N18" s="215">
        <f>M18*0.045</f>
        <v>310548.49200000003</v>
      </c>
      <c r="O18" s="7"/>
      <c r="P18" s="114" t="s">
        <v>0</v>
      </c>
      <c r="Q18" s="33">
        <v>1431</v>
      </c>
      <c r="R18" s="33">
        <f t="shared" si="2"/>
        <v>0.16348680452416314</v>
      </c>
      <c r="S18" s="113">
        <f t="shared" si="3"/>
        <v>1631598.3091511482</v>
      </c>
      <c r="T18" s="3">
        <f>SUM(H3:H5)</f>
        <v>2197</v>
      </c>
      <c r="U18" s="6">
        <f t="shared" si="4"/>
        <v>0.23272318969535191</v>
      </c>
    </row>
    <row r="19" spans="1:21" x14ac:dyDescent="0.3">
      <c r="A19" s="34" t="s">
        <v>7</v>
      </c>
      <c r="B19" s="58" t="s">
        <v>21</v>
      </c>
      <c r="C19" s="59" t="s">
        <v>42</v>
      </c>
      <c r="D19" s="184"/>
      <c r="E19" s="60" t="s">
        <v>17</v>
      </c>
      <c r="F19" s="63">
        <v>0</v>
      </c>
      <c r="G19" s="58">
        <v>0.255</v>
      </c>
      <c r="H19" s="61">
        <v>255</v>
      </c>
      <c r="I19" s="58">
        <f t="shared" si="1"/>
        <v>765</v>
      </c>
      <c r="J19" s="58" t="s">
        <v>9</v>
      </c>
      <c r="K19" s="94">
        <v>1200</v>
      </c>
      <c r="L19" s="62">
        <f>I19*K19</f>
        <v>918000</v>
      </c>
      <c r="M19" s="193"/>
      <c r="N19" s="216"/>
      <c r="O19" s="7"/>
      <c r="P19" s="44" t="s">
        <v>14</v>
      </c>
      <c r="Q19" s="33">
        <v>1340</v>
      </c>
      <c r="R19" s="33">
        <f t="shared" si="2"/>
        <v>0.15309036901633727</v>
      </c>
      <c r="S19" s="113">
        <f t="shared" si="3"/>
        <v>1527841.882783046</v>
      </c>
      <c r="T19" s="1">
        <v>0</v>
      </c>
      <c r="U19" s="6">
        <f t="shared" si="4"/>
        <v>0</v>
      </c>
    </row>
    <row r="20" spans="1:21" x14ac:dyDescent="0.3">
      <c r="A20" s="34"/>
      <c r="B20" s="58"/>
      <c r="C20" s="59" t="s">
        <v>59</v>
      </c>
      <c r="D20" s="184"/>
      <c r="E20" s="60" t="s">
        <v>58</v>
      </c>
      <c r="F20" s="63"/>
      <c r="G20" s="58"/>
      <c r="H20" s="61">
        <v>498</v>
      </c>
      <c r="I20" s="58">
        <f>H20*3</f>
        <v>1494</v>
      </c>
      <c r="J20" s="58" t="s">
        <v>9</v>
      </c>
      <c r="K20" s="106">
        <v>1200</v>
      </c>
      <c r="L20" s="62">
        <f>K20*I20</f>
        <v>1792800</v>
      </c>
      <c r="M20" s="193"/>
      <c r="N20" s="216"/>
      <c r="O20" s="7"/>
      <c r="P20" s="116" t="s">
        <v>24</v>
      </c>
      <c r="Q20" s="33">
        <v>722</v>
      </c>
      <c r="R20" s="33">
        <f t="shared" si="2"/>
        <v>8.2486004798354856E-2</v>
      </c>
      <c r="S20" s="113">
        <f t="shared" si="3"/>
        <v>823210.32788758143</v>
      </c>
      <c r="T20" s="3">
        <f>SUM(H6:H7)</f>
        <v>635</v>
      </c>
      <c r="U20" s="6">
        <f t="shared" si="4"/>
        <v>6.7264098978856837E-2</v>
      </c>
    </row>
    <row r="21" spans="1:21" ht="21.6" x14ac:dyDescent="0.3">
      <c r="A21" s="34"/>
      <c r="B21" s="58"/>
      <c r="C21" s="59" t="s">
        <v>61</v>
      </c>
      <c r="D21" s="185"/>
      <c r="E21" s="60" t="s">
        <v>58</v>
      </c>
      <c r="F21" s="63"/>
      <c r="G21" s="58"/>
      <c r="H21" s="61">
        <v>195</v>
      </c>
      <c r="I21" s="58">
        <f>H21*3</f>
        <v>585</v>
      </c>
      <c r="J21" s="58" t="s">
        <v>9</v>
      </c>
      <c r="K21" s="106">
        <v>1200</v>
      </c>
      <c r="L21" s="62">
        <f>K21*I21</f>
        <v>702000</v>
      </c>
      <c r="M21" s="194"/>
      <c r="N21" s="217"/>
      <c r="O21" s="7"/>
      <c r="P21" s="33" t="s">
        <v>62</v>
      </c>
      <c r="Q21" s="33">
        <f>SUM(Q14:Q20)</f>
        <v>8753</v>
      </c>
      <c r="R21" s="33">
        <f t="shared" si="2"/>
        <v>1</v>
      </c>
      <c r="S21" s="142">
        <f>SUM(S14:S20)</f>
        <v>9980000.0000000019</v>
      </c>
      <c r="T21" s="3">
        <f>SUM(T14:T20)</f>
        <v>9440.4</v>
      </c>
      <c r="U21" s="6">
        <f>SUM(U14:U20)</f>
        <v>1</v>
      </c>
    </row>
    <row r="22" spans="1:21" ht="31.8" x14ac:dyDescent="0.3">
      <c r="A22" s="64"/>
      <c r="B22" s="33"/>
      <c r="C22" s="65" t="s">
        <v>43</v>
      </c>
      <c r="D22" s="66" t="s">
        <v>55</v>
      </c>
      <c r="E22" s="67" t="s">
        <v>37</v>
      </c>
      <c r="F22" s="64"/>
      <c r="G22" s="33"/>
      <c r="H22" s="68">
        <v>23</v>
      </c>
      <c r="I22" s="68"/>
      <c r="J22" s="33" t="s">
        <v>9</v>
      </c>
      <c r="K22" s="95">
        <v>180000</v>
      </c>
      <c r="L22" s="145">
        <v>0</v>
      </c>
      <c r="M22" s="146">
        <v>0</v>
      </c>
      <c r="N22" s="96"/>
      <c r="O22" s="7"/>
      <c r="P22" s="224" t="s">
        <v>63</v>
      </c>
      <c r="Q22" s="225"/>
      <c r="R22" s="226"/>
      <c r="S22" s="143">
        <f>S21</f>
        <v>9980000.0000000019</v>
      </c>
      <c r="T22" s="4">
        <v>14960000</v>
      </c>
    </row>
    <row r="23" spans="1:21" x14ac:dyDescent="0.3">
      <c r="A23" s="69"/>
      <c r="B23" s="69"/>
      <c r="C23" s="109"/>
      <c r="D23" s="181" t="s">
        <v>23</v>
      </c>
      <c r="E23" s="71" t="s">
        <v>17</v>
      </c>
      <c r="F23" s="72">
        <v>0.255</v>
      </c>
      <c r="G23" s="69">
        <v>1.145</v>
      </c>
      <c r="H23" s="73">
        <v>890</v>
      </c>
      <c r="I23" s="73">
        <f t="shared" si="1"/>
        <v>2670</v>
      </c>
      <c r="J23" s="73" t="s">
        <v>56</v>
      </c>
      <c r="K23" s="97">
        <v>1200</v>
      </c>
      <c r="L23" s="98">
        <f>I23*K23</f>
        <v>3204000</v>
      </c>
      <c r="M23" s="218">
        <f>(SUM(L23,L24)*1.1)+((SUM(L23,L24)*1.1)*0.045)</f>
        <v>6223852.8000000007</v>
      </c>
      <c r="N23" s="220">
        <f>M23*0.045</f>
        <v>280073.37600000005</v>
      </c>
      <c r="O23" s="7"/>
      <c r="P23" s="7"/>
      <c r="Q23" s="7"/>
      <c r="R23" s="7"/>
      <c r="S23" s="7"/>
    </row>
    <row r="24" spans="1:21" x14ac:dyDescent="0.3">
      <c r="A24" s="118"/>
      <c r="B24" s="118"/>
      <c r="C24" s="119" t="s">
        <v>60</v>
      </c>
      <c r="D24" s="182"/>
      <c r="E24" s="107" t="s">
        <v>58</v>
      </c>
      <c r="F24" s="120"/>
      <c r="G24" s="121"/>
      <c r="H24" s="122">
        <v>614</v>
      </c>
      <c r="I24" s="122">
        <f>H24*3</f>
        <v>1842</v>
      </c>
      <c r="J24" s="123" t="s">
        <v>56</v>
      </c>
      <c r="K24" s="117">
        <v>1200</v>
      </c>
      <c r="L24" s="124">
        <f>K24*I24</f>
        <v>2210400</v>
      </c>
      <c r="M24" s="219"/>
      <c r="N24" s="221"/>
      <c r="O24" s="7"/>
      <c r="P24" s="7"/>
      <c r="Q24" s="7"/>
      <c r="R24" s="7"/>
      <c r="S24" s="7"/>
      <c r="T24" s="115"/>
    </row>
    <row r="25" spans="1:21" ht="15" thickBot="1" x14ac:dyDescent="0.35">
      <c r="A25" s="69"/>
      <c r="B25" s="69"/>
      <c r="C25" s="70"/>
      <c r="D25" s="108" t="s">
        <v>14</v>
      </c>
      <c r="E25" s="69" t="s">
        <v>67</v>
      </c>
      <c r="F25" s="132"/>
      <c r="G25" s="69"/>
      <c r="H25" s="73"/>
      <c r="I25" s="73"/>
      <c r="J25" s="73"/>
      <c r="K25" s="97"/>
      <c r="L25" s="97"/>
      <c r="M25" s="97"/>
      <c r="N25" s="97"/>
      <c r="O25" s="7"/>
      <c r="P25" s="7"/>
      <c r="Q25" s="7"/>
      <c r="R25" s="7"/>
      <c r="S25" s="7"/>
      <c r="T25" s="115"/>
    </row>
    <row r="26" spans="1:21" ht="15.75" customHeight="1" x14ac:dyDescent="0.3">
      <c r="A26" s="195" t="s">
        <v>49</v>
      </c>
      <c r="B26" s="196"/>
      <c r="C26" s="196"/>
      <c r="D26" s="197"/>
      <c r="E26" s="125"/>
      <c r="F26" s="126"/>
      <c r="G26" s="127"/>
      <c r="H26" s="128"/>
      <c r="I26" s="127"/>
      <c r="J26" s="127"/>
      <c r="K26" s="129"/>
      <c r="L26" s="130">
        <f>SUM(L3:L25)</f>
        <v>36300600</v>
      </c>
      <c r="M26" s="129">
        <f>SUM(M3:M25)</f>
        <v>41727539.700000003</v>
      </c>
      <c r="N26" s="131"/>
      <c r="O26" s="7"/>
      <c r="P26" s="222" t="s">
        <v>64</v>
      </c>
      <c r="Q26" s="223"/>
      <c r="R26" s="223"/>
      <c r="S26" s="223"/>
      <c r="T26" s="144">
        <f>L29+S22</f>
        <v>51707539.700000003</v>
      </c>
    </row>
    <row r="27" spans="1:21" x14ac:dyDescent="0.3">
      <c r="A27" s="173" t="s">
        <v>53</v>
      </c>
      <c r="B27" s="174"/>
      <c r="C27" s="174"/>
      <c r="D27" s="175"/>
      <c r="E27" s="74"/>
      <c r="F27" s="75"/>
      <c r="G27" s="76"/>
      <c r="H27" s="77"/>
      <c r="I27" s="76"/>
      <c r="J27" s="76"/>
      <c r="K27" s="99"/>
      <c r="L27" s="78">
        <f>L26*1.1</f>
        <v>39930660</v>
      </c>
      <c r="M27" s="99"/>
      <c r="N27" s="100"/>
      <c r="O27" s="7"/>
      <c r="P27" s="227" t="s">
        <v>65</v>
      </c>
      <c r="Q27" s="228"/>
      <c r="R27" s="228"/>
      <c r="S27" s="228"/>
      <c r="T27" s="133">
        <f>Q21</f>
        <v>8753</v>
      </c>
    </row>
    <row r="28" spans="1:21" x14ac:dyDescent="0.3">
      <c r="A28" s="79" t="s">
        <v>51</v>
      </c>
      <c r="B28" s="80"/>
      <c r="C28" s="80"/>
      <c r="D28" s="81"/>
      <c r="E28" s="74"/>
      <c r="F28" s="75"/>
      <c r="G28" s="76"/>
      <c r="H28" s="77"/>
      <c r="I28" s="76"/>
      <c r="J28" s="76"/>
      <c r="K28" s="99"/>
      <c r="L28" s="78">
        <f>L27*0.045</f>
        <v>1796879.7</v>
      </c>
      <c r="M28" s="99"/>
      <c r="N28" s="100"/>
      <c r="O28" s="7"/>
      <c r="P28" s="227" t="s">
        <v>66</v>
      </c>
      <c r="Q28" s="228"/>
      <c r="R28" s="228"/>
      <c r="S28" s="228"/>
      <c r="T28" s="133">
        <f>SUM(H3:H24)</f>
        <v>9440.4</v>
      </c>
    </row>
    <row r="29" spans="1:21" ht="15" customHeight="1" thickBot="1" x14ac:dyDescent="0.35">
      <c r="A29" s="170" t="s">
        <v>54</v>
      </c>
      <c r="B29" s="171"/>
      <c r="C29" s="171"/>
      <c r="D29" s="172"/>
      <c r="E29" s="82"/>
      <c r="F29" s="83"/>
      <c r="G29" s="84"/>
      <c r="H29" s="85"/>
      <c r="I29" s="84"/>
      <c r="J29" s="84"/>
      <c r="K29" s="101"/>
      <c r="L29" s="141">
        <f>L27+(L27*0.045)</f>
        <v>41727539.700000003</v>
      </c>
      <c r="M29" s="101"/>
      <c r="N29" s="102"/>
      <c r="O29" s="7"/>
      <c r="P29" s="229" t="s">
        <v>68</v>
      </c>
      <c r="Q29" s="230"/>
      <c r="R29" s="230"/>
      <c r="S29" s="230"/>
      <c r="T29" s="134"/>
    </row>
    <row r="30" spans="1:21" x14ac:dyDescent="0.3">
      <c r="P30" s="43" t="s">
        <v>32</v>
      </c>
      <c r="Q30" s="214">
        <f>$T$26*((0.5*U14)+(0.5*R14))</f>
        <v>6369627.3851943063</v>
      </c>
      <c r="R30" s="214"/>
      <c r="S30" s="214"/>
      <c r="T30" s="134"/>
    </row>
    <row r="31" spans="1:21" x14ac:dyDescent="0.3">
      <c r="P31" s="32" t="s">
        <v>16</v>
      </c>
      <c r="Q31" s="214">
        <f t="shared" ref="Q31:Q36" si="5">$T$26*((0.5*U15)+(0.5*R15))</f>
        <v>9891995.9825039189</v>
      </c>
      <c r="R31" s="214"/>
      <c r="S31" s="214"/>
      <c r="T31" s="134"/>
    </row>
    <row r="32" spans="1:21" x14ac:dyDescent="0.3">
      <c r="P32" s="34" t="s">
        <v>20</v>
      </c>
      <c r="Q32" s="214">
        <f>$T$26*((0.5*U16)+(0.5*R16))</f>
        <v>11378323.829413349</v>
      </c>
      <c r="R32" s="214"/>
      <c r="S32" s="214"/>
      <c r="T32" s="134"/>
    </row>
    <row r="33" spans="16:20" x14ac:dyDescent="0.3">
      <c r="P33" s="135" t="s">
        <v>23</v>
      </c>
      <c r="Q33" s="214">
        <f t="shared" si="5"/>
        <v>5994502.6151976567</v>
      </c>
      <c r="R33" s="214"/>
      <c r="S33" s="214"/>
      <c r="T33" s="134"/>
    </row>
    <row r="34" spans="16:20" x14ac:dyDescent="0.3">
      <c r="P34" s="136" t="s">
        <v>0</v>
      </c>
      <c r="Q34" s="214">
        <f t="shared" si="5"/>
        <v>10243522.002821174</v>
      </c>
      <c r="R34" s="214"/>
      <c r="S34" s="214"/>
      <c r="T34" s="134"/>
    </row>
    <row r="35" spans="16:20" x14ac:dyDescent="0.3">
      <c r="P35" s="43" t="s">
        <v>14</v>
      </c>
      <c r="Q35" s="214">
        <f t="shared" si="5"/>
        <v>3957963.1667999551</v>
      </c>
      <c r="R35" s="214"/>
      <c r="S35" s="214"/>
      <c r="T35" s="134"/>
    </row>
    <row r="36" spans="16:20" x14ac:dyDescent="0.3">
      <c r="P36" s="137" t="s">
        <v>24</v>
      </c>
      <c r="Q36" s="214">
        <f t="shared" si="5"/>
        <v>3871604.7180696474</v>
      </c>
      <c r="R36" s="214"/>
      <c r="S36" s="214"/>
      <c r="T36" s="134"/>
    </row>
    <row r="37" spans="16:20" x14ac:dyDescent="0.3">
      <c r="P37" s="64" t="s">
        <v>70</v>
      </c>
      <c r="Q37" s="214">
        <f>SUM(Q30:Q36)</f>
        <v>51707539.700000018</v>
      </c>
      <c r="R37" s="214"/>
      <c r="S37" s="214"/>
      <c r="T37" s="134"/>
    </row>
    <row r="38" spans="16:20" ht="15" thickBot="1" x14ac:dyDescent="0.35">
      <c r="P38" s="138"/>
      <c r="Q38" s="139"/>
      <c r="R38" s="139"/>
      <c r="S38" s="139"/>
      <c r="T38" s="140"/>
    </row>
  </sheetData>
  <mergeCells count="34">
    <mergeCell ref="Q35:S35"/>
    <mergeCell ref="Q36:S36"/>
    <mergeCell ref="Q37:S37"/>
    <mergeCell ref="N18:N21"/>
    <mergeCell ref="M23:M24"/>
    <mergeCell ref="N23:N24"/>
    <mergeCell ref="Q30:S30"/>
    <mergeCell ref="Q31:S31"/>
    <mergeCell ref="Q32:S32"/>
    <mergeCell ref="Q33:S33"/>
    <mergeCell ref="Q34:S34"/>
    <mergeCell ref="P26:S26"/>
    <mergeCell ref="P22:R22"/>
    <mergeCell ref="P27:S27"/>
    <mergeCell ref="P28:S28"/>
    <mergeCell ref="P29:S29"/>
    <mergeCell ref="N12:N17"/>
    <mergeCell ref="M18:M21"/>
    <mergeCell ref="A26:D26"/>
    <mergeCell ref="D3:D5"/>
    <mergeCell ref="D6:D7"/>
    <mergeCell ref="D8:D11"/>
    <mergeCell ref="D12:D16"/>
    <mergeCell ref="N3:N5"/>
    <mergeCell ref="N6:N7"/>
    <mergeCell ref="N8:N11"/>
    <mergeCell ref="A29:D29"/>
    <mergeCell ref="A27:D27"/>
    <mergeCell ref="M3:M5"/>
    <mergeCell ref="M6:M7"/>
    <mergeCell ref="M8:M11"/>
    <mergeCell ref="D23:D24"/>
    <mergeCell ref="D18:D21"/>
    <mergeCell ref="M12:M17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3"/>
  <sheetViews>
    <sheetView workbookViewId="0">
      <selection activeCell="B20" sqref="B20"/>
    </sheetView>
  </sheetViews>
  <sheetFormatPr defaultRowHeight="14.4" x14ac:dyDescent="0.3"/>
  <cols>
    <col min="2" max="2" width="62.109375" customWidth="1"/>
    <col min="3" max="3" width="14.44140625" customWidth="1"/>
  </cols>
  <sheetData>
    <row r="2" spans="2:4" x14ac:dyDescent="0.3">
      <c r="B2" t="s">
        <v>64</v>
      </c>
      <c r="D2">
        <v>69992282.978852972</v>
      </c>
    </row>
    <row r="3" spans="2:4" x14ac:dyDescent="0.3">
      <c r="B3" t="s">
        <v>65</v>
      </c>
      <c r="D3">
        <v>8753</v>
      </c>
    </row>
    <row r="4" spans="2:4" x14ac:dyDescent="0.3">
      <c r="B4" t="s">
        <v>66</v>
      </c>
      <c r="D4">
        <v>9440.4</v>
      </c>
    </row>
    <row r="5" spans="2:4" x14ac:dyDescent="0.3">
      <c r="B5" t="s">
        <v>68</v>
      </c>
    </row>
    <row r="6" spans="2:4" x14ac:dyDescent="0.3">
      <c r="B6" t="s">
        <v>32</v>
      </c>
      <c r="C6">
        <v>8622045.5469547547</v>
      </c>
    </row>
    <row r="7" spans="2:4" x14ac:dyDescent="0.3">
      <c r="B7" t="s">
        <v>16</v>
      </c>
      <c r="C7">
        <v>13389988.888469411</v>
      </c>
    </row>
    <row r="8" spans="2:4" x14ac:dyDescent="0.3">
      <c r="B8" t="s">
        <v>20</v>
      </c>
      <c r="C8">
        <v>15401909.777837005</v>
      </c>
    </row>
    <row r="9" spans="2:4" x14ac:dyDescent="0.3">
      <c r="B9" t="s">
        <v>23</v>
      </c>
      <c r="C9">
        <v>8114269.7137529552</v>
      </c>
    </row>
    <row r="10" spans="2:4" x14ac:dyDescent="0.3">
      <c r="B10" t="s">
        <v>0</v>
      </c>
      <c r="C10">
        <v>13865821.017231001</v>
      </c>
    </row>
    <row r="11" spans="2:4" x14ac:dyDescent="0.3">
      <c r="B11" t="s">
        <v>14</v>
      </c>
      <c r="C11">
        <v>5357572.2147642514</v>
      </c>
    </row>
    <row r="12" spans="2:4" x14ac:dyDescent="0.3">
      <c r="B12" t="s">
        <v>24</v>
      </c>
      <c r="C12">
        <v>5240675.8198436005</v>
      </c>
    </row>
    <row r="13" spans="2:4" x14ac:dyDescent="0.3">
      <c r="B13" t="s">
        <v>70</v>
      </c>
      <c r="C13">
        <v>69992282.978852987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8"/>
  <sheetViews>
    <sheetView tabSelected="1" topLeftCell="A13" workbookViewId="0">
      <selection activeCell="C28" sqref="C28"/>
    </sheetView>
  </sheetViews>
  <sheetFormatPr defaultColWidth="11.44140625" defaultRowHeight="14.4" x14ac:dyDescent="0.3"/>
  <cols>
    <col min="1" max="2" width="11.44140625" style="1"/>
    <col min="3" max="3" width="11.44140625" style="2"/>
    <col min="4" max="7" width="11.44140625" style="1"/>
    <col min="8" max="8" width="11.44140625" style="3"/>
    <col min="9" max="10" width="11.44140625" style="1"/>
    <col min="11" max="11" width="14.109375" style="164" customWidth="1"/>
    <col min="12" max="17" width="12.109375" style="1" customWidth="1"/>
    <col min="18" max="16384" width="11.44140625" style="1"/>
  </cols>
  <sheetData>
    <row r="1" spans="1:19" ht="15" thickBot="1" x14ac:dyDescent="0.35">
      <c r="A1" s="7"/>
      <c r="B1" s="7"/>
      <c r="C1" s="8"/>
      <c r="D1" s="7"/>
      <c r="E1" s="7"/>
      <c r="F1" s="7"/>
      <c r="G1" s="7"/>
      <c r="H1" s="9"/>
      <c r="I1" s="7"/>
      <c r="J1" s="7"/>
      <c r="K1" s="160"/>
      <c r="L1" s="7"/>
    </row>
    <row r="2" spans="1:19" ht="14.4" customHeight="1" x14ac:dyDescent="0.3">
      <c r="A2" s="244"/>
      <c r="B2" s="255" t="s">
        <v>83</v>
      </c>
      <c r="C2" s="257"/>
      <c r="D2" s="249" t="s">
        <v>22</v>
      </c>
      <c r="E2" s="255"/>
      <c r="F2" s="249" t="s">
        <v>2</v>
      </c>
      <c r="G2" s="249" t="s">
        <v>3</v>
      </c>
      <c r="H2" s="251" t="s">
        <v>4</v>
      </c>
      <c r="I2" s="249" t="s">
        <v>12</v>
      </c>
      <c r="J2" s="249" t="s">
        <v>5</v>
      </c>
      <c r="K2" s="253" t="s">
        <v>76</v>
      </c>
      <c r="L2" s="246" t="s">
        <v>73</v>
      </c>
      <c r="M2" s="247"/>
      <c r="N2" s="248" t="s">
        <v>74</v>
      </c>
      <c r="O2" s="247"/>
      <c r="P2" s="248" t="s">
        <v>75</v>
      </c>
      <c r="Q2" s="247"/>
      <c r="R2" s="231" t="s">
        <v>80</v>
      </c>
      <c r="S2" s="231" t="s">
        <v>81</v>
      </c>
    </row>
    <row r="3" spans="1:19" s="5" customFormat="1" ht="33" customHeight="1" thickBot="1" x14ac:dyDescent="0.35">
      <c r="A3" s="245"/>
      <c r="B3" s="256"/>
      <c r="C3" s="258"/>
      <c r="D3" s="250"/>
      <c r="E3" s="256"/>
      <c r="F3" s="250"/>
      <c r="G3" s="250"/>
      <c r="H3" s="252"/>
      <c r="I3" s="250"/>
      <c r="J3" s="250"/>
      <c r="K3" s="254"/>
      <c r="L3" s="153" t="s">
        <v>77</v>
      </c>
      <c r="M3" s="152" t="s">
        <v>78</v>
      </c>
      <c r="N3" s="153" t="s">
        <v>77</v>
      </c>
      <c r="O3" s="152" t="s">
        <v>78</v>
      </c>
      <c r="P3" s="153" t="s">
        <v>77</v>
      </c>
      <c r="Q3" s="152" t="s">
        <v>78</v>
      </c>
      <c r="R3" s="232"/>
      <c r="S3" s="232"/>
    </row>
    <row r="4" spans="1:19" s="6" customFormat="1" x14ac:dyDescent="0.3">
      <c r="A4" s="17" t="s">
        <v>7</v>
      </c>
      <c r="B4" s="18" t="s">
        <v>8</v>
      </c>
      <c r="C4" s="19" t="s">
        <v>27</v>
      </c>
      <c r="D4" s="198" t="s">
        <v>0</v>
      </c>
      <c r="E4" s="20" t="s">
        <v>1</v>
      </c>
      <c r="F4" s="17">
        <v>0</v>
      </c>
      <c r="G4" s="18">
        <v>0.73899999999999999</v>
      </c>
      <c r="H4" s="21">
        <v>739</v>
      </c>
      <c r="I4" s="21">
        <f>H4*3</f>
        <v>2217</v>
      </c>
      <c r="J4" s="18" t="s">
        <v>56</v>
      </c>
      <c r="K4" s="259">
        <f>SUM(L4:Q6)</f>
        <v>0</v>
      </c>
      <c r="L4" s="266"/>
      <c r="M4" s="242">
        <f>L4*0.25</f>
        <v>0</v>
      </c>
      <c r="N4" s="241"/>
      <c r="O4" s="242">
        <f>N4*0.25</f>
        <v>0</v>
      </c>
      <c r="P4" s="241"/>
      <c r="Q4" s="242">
        <f>P4*0.1</f>
        <v>0</v>
      </c>
      <c r="R4" s="243"/>
      <c r="S4" s="233">
        <f>R4*150</f>
        <v>0</v>
      </c>
    </row>
    <row r="5" spans="1:19" x14ac:dyDescent="0.3">
      <c r="A5" s="24" t="s">
        <v>7</v>
      </c>
      <c r="B5" s="25" t="s">
        <v>10</v>
      </c>
      <c r="C5" s="26" t="s">
        <v>28</v>
      </c>
      <c r="D5" s="199"/>
      <c r="E5" s="27" t="s">
        <v>46</v>
      </c>
      <c r="F5" s="28">
        <v>0</v>
      </c>
      <c r="G5" s="29">
        <v>1.006</v>
      </c>
      <c r="H5" s="30">
        <v>1006</v>
      </c>
      <c r="I5" s="25">
        <f>H5*3</f>
        <v>3018</v>
      </c>
      <c r="J5" s="25" t="s">
        <v>9</v>
      </c>
      <c r="K5" s="260"/>
      <c r="L5" s="266"/>
      <c r="M5" s="242"/>
      <c r="N5" s="241"/>
      <c r="O5" s="242"/>
      <c r="P5" s="241"/>
      <c r="Q5" s="242"/>
      <c r="R5" s="241"/>
      <c r="S5" s="234"/>
    </row>
    <row r="6" spans="1:19" ht="21.6" x14ac:dyDescent="0.3">
      <c r="A6" s="24" t="s">
        <v>13</v>
      </c>
      <c r="B6" s="25" t="s">
        <v>11</v>
      </c>
      <c r="C6" s="26" t="s">
        <v>29</v>
      </c>
      <c r="D6" s="200"/>
      <c r="E6" s="27" t="s">
        <v>1</v>
      </c>
      <c r="F6" s="28">
        <v>0</v>
      </c>
      <c r="G6" s="25">
        <v>0.45200000000000001</v>
      </c>
      <c r="H6" s="30">
        <v>452</v>
      </c>
      <c r="I6" s="25">
        <f>H6*3</f>
        <v>1356</v>
      </c>
      <c r="J6" s="25" t="s">
        <v>9</v>
      </c>
      <c r="K6" s="260"/>
      <c r="L6" s="262"/>
      <c r="M6" s="240"/>
      <c r="N6" s="238"/>
      <c r="O6" s="240"/>
      <c r="P6" s="238"/>
      <c r="Q6" s="240"/>
      <c r="R6" s="241"/>
      <c r="S6" s="234"/>
    </row>
    <row r="7" spans="1:19" ht="21.6" x14ac:dyDescent="0.3">
      <c r="A7" s="35" t="s">
        <v>26</v>
      </c>
      <c r="B7" s="36" t="s">
        <v>11</v>
      </c>
      <c r="C7" s="37" t="s">
        <v>31</v>
      </c>
      <c r="D7" s="201" t="s">
        <v>24</v>
      </c>
      <c r="E7" s="27" t="s">
        <v>46</v>
      </c>
      <c r="F7" s="38">
        <v>0</v>
      </c>
      <c r="G7" s="36">
        <v>0</v>
      </c>
      <c r="H7" s="39">
        <v>0</v>
      </c>
      <c r="I7" s="39">
        <f t="shared" ref="I7:I21" si="0">H7*3</f>
        <v>0</v>
      </c>
      <c r="J7" s="36" t="s">
        <v>9</v>
      </c>
      <c r="K7" s="263">
        <f>SUM(L7:Q8)</f>
        <v>0</v>
      </c>
      <c r="L7" s="261"/>
      <c r="M7" s="239">
        <f>L7*0.25</f>
        <v>0</v>
      </c>
      <c r="N7" s="237"/>
      <c r="O7" s="239">
        <f>N7*0.25</f>
        <v>0</v>
      </c>
      <c r="P7" s="237"/>
      <c r="Q7" s="239">
        <f>P7*0.1</f>
        <v>0</v>
      </c>
      <c r="R7" s="235"/>
      <c r="S7" s="235"/>
    </row>
    <row r="8" spans="1:19" x14ac:dyDescent="0.3">
      <c r="A8" s="35" t="s">
        <v>25</v>
      </c>
      <c r="B8" s="36" t="s">
        <v>84</v>
      </c>
      <c r="C8" s="37" t="s">
        <v>30</v>
      </c>
      <c r="D8" s="202"/>
      <c r="E8" s="41" t="s">
        <v>1</v>
      </c>
      <c r="F8" s="38">
        <v>0</v>
      </c>
      <c r="G8" s="36">
        <v>0.63500000000000001</v>
      </c>
      <c r="H8" s="39">
        <v>635</v>
      </c>
      <c r="I8" s="36">
        <f t="shared" si="0"/>
        <v>1905</v>
      </c>
      <c r="J8" s="42" t="s">
        <v>56</v>
      </c>
      <c r="K8" s="259"/>
      <c r="L8" s="262"/>
      <c r="M8" s="240"/>
      <c r="N8" s="238"/>
      <c r="O8" s="240"/>
      <c r="P8" s="238"/>
      <c r="Q8" s="240"/>
      <c r="R8" s="235"/>
      <c r="S8" s="235"/>
    </row>
    <row r="9" spans="1:19" ht="21.6" x14ac:dyDescent="0.3">
      <c r="A9" s="43"/>
      <c r="B9" s="44" t="s">
        <v>85</v>
      </c>
      <c r="C9" s="45" t="s">
        <v>47</v>
      </c>
      <c r="D9" s="203" t="s">
        <v>32</v>
      </c>
      <c r="E9" s="46" t="s">
        <v>46</v>
      </c>
      <c r="F9" s="47">
        <v>0.13300000000000001</v>
      </c>
      <c r="G9" s="44">
        <v>0.3</v>
      </c>
      <c r="H9" s="48">
        <v>167</v>
      </c>
      <c r="I9" s="44">
        <f t="shared" si="0"/>
        <v>501</v>
      </c>
      <c r="J9" s="44" t="s">
        <v>9</v>
      </c>
      <c r="K9" s="260">
        <f>SUM(L9:Q12)</f>
        <v>0</v>
      </c>
      <c r="L9" s="261"/>
      <c r="M9" s="239">
        <f>L9*0.25</f>
        <v>0</v>
      </c>
      <c r="N9" s="237"/>
      <c r="O9" s="239">
        <f>N9*0.25</f>
        <v>0</v>
      </c>
      <c r="P9" s="237"/>
      <c r="Q9" s="239">
        <f>P9*0.1</f>
        <v>0</v>
      </c>
      <c r="R9" s="235"/>
      <c r="S9" s="235"/>
    </row>
    <row r="10" spans="1:19" ht="39.75" customHeight="1" x14ac:dyDescent="0.3">
      <c r="A10" s="43"/>
      <c r="B10" s="44" t="s">
        <v>85</v>
      </c>
      <c r="C10" s="45" t="s">
        <v>38</v>
      </c>
      <c r="D10" s="204"/>
      <c r="E10" s="46" t="s">
        <v>46</v>
      </c>
      <c r="F10" s="47">
        <v>0.3</v>
      </c>
      <c r="G10" s="44">
        <v>0.85699999999999998</v>
      </c>
      <c r="H10" s="48">
        <v>557</v>
      </c>
      <c r="I10" s="48">
        <f t="shared" si="0"/>
        <v>1671</v>
      </c>
      <c r="J10" s="44" t="s">
        <v>9</v>
      </c>
      <c r="K10" s="260"/>
      <c r="L10" s="266"/>
      <c r="M10" s="242"/>
      <c r="N10" s="241"/>
      <c r="O10" s="242"/>
      <c r="P10" s="241"/>
      <c r="Q10" s="242"/>
      <c r="R10" s="235"/>
      <c r="S10" s="235"/>
    </row>
    <row r="11" spans="1:19" ht="21.6" x14ac:dyDescent="0.3">
      <c r="A11" s="43"/>
      <c r="B11" s="44" t="s">
        <v>86</v>
      </c>
      <c r="C11" s="45" t="s">
        <v>33</v>
      </c>
      <c r="D11" s="204"/>
      <c r="E11" s="46" t="s">
        <v>1</v>
      </c>
      <c r="F11" s="47">
        <v>0</v>
      </c>
      <c r="G11" s="44">
        <v>0.217</v>
      </c>
      <c r="H11" s="48">
        <v>217</v>
      </c>
      <c r="I11" s="44">
        <f t="shared" si="0"/>
        <v>651</v>
      </c>
      <c r="J11" s="44" t="s">
        <v>9</v>
      </c>
      <c r="K11" s="260"/>
      <c r="L11" s="266"/>
      <c r="M11" s="242"/>
      <c r="N11" s="241"/>
      <c r="O11" s="242"/>
      <c r="P11" s="241"/>
      <c r="Q11" s="242"/>
      <c r="R11" s="235"/>
      <c r="S11" s="235"/>
    </row>
    <row r="12" spans="1:19" x14ac:dyDescent="0.3">
      <c r="A12" s="43" t="s">
        <v>18</v>
      </c>
      <c r="B12" s="44"/>
      <c r="C12" s="45"/>
      <c r="D12" s="205"/>
      <c r="E12" s="46" t="s">
        <v>19</v>
      </c>
      <c r="F12" s="43"/>
      <c r="G12" s="50"/>
      <c r="H12" s="48">
        <v>5.4</v>
      </c>
      <c r="I12" s="44">
        <v>11</v>
      </c>
      <c r="J12" s="50" t="s">
        <v>56</v>
      </c>
      <c r="K12" s="260"/>
      <c r="L12" s="262"/>
      <c r="M12" s="240"/>
      <c r="N12" s="238"/>
      <c r="O12" s="240"/>
      <c r="P12" s="238"/>
      <c r="Q12" s="240"/>
      <c r="R12" s="235"/>
      <c r="S12" s="235"/>
    </row>
    <row r="13" spans="1:19" ht="31.8" x14ac:dyDescent="0.3">
      <c r="A13" s="32" t="s">
        <v>7</v>
      </c>
      <c r="B13" s="51" t="s">
        <v>15</v>
      </c>
      <c r="C13" s="52" t="s">
        <v>34</v>
      </c>
      <c r="D13" s="206" t="s">
        <v>16</v>
      </c>
      <c r="E13" s="53" t="s">
        <v>17</v>
      </c>
      <c r="F13" s="54">
        <v>0</v>
      </c>
      <c r="G13" s="55">
        <v>0.37</v>
      </c>
      <c r="H13" s="56">
        <v>370</v>
      </c>
      <c r="I13" s="56">
        <f>H13*3</f>
        <v>1110</v>
      </c>
      <c r="J13" s="51" t="s">
        <v>9</v>
      </c>
      <c r="K13" s="263">
        <f>SUM(L13:Q17)</f>
        <v>0</v>
      </c>
      <c r="L13" s="261"/>
      <c r="M13" s="239">
        <f>L13*0.25</f>
        <v>0</v>
      </c>
      <c r="N13" s="237"/>
      <c r="O13" s="239">
        <f>N13*0.25</f>
        <v>0</v>
      </c>
      <c r="P13" s="237"/>
      <c r="Q13" s="239">
        <f>P13*0.1</f>
        <v>0</v>
      </c>
      <c r="R13" s="235"/>
      <c r="S13" s="235"/>
    </row>
    <row r="14" spans="1:19" x14ac:dyDescent="0.3">
      <c r="A14" s="32"/>
      <c r="B14" s="51" t="s">
        <v>87</v>
      </c>
      <c r="C14" s="52" t="s">
        <v>35</v>
      </c>
      <c r="D14" s="207"/>
      <c r="E14" s="53" t="s">
        <v>17</v>
      </c>
      <c r="F14" s="54">
        <v>0</v>
      </c>
      <c r="G14" s="51">
        <v>0.46700000000000003</v>
      </c>
      <c r="H14" s="56">
        <v>467</v>
      </c>
      <c r="I14" s="51">
        <f t="shared" si="0"/>
        <v>1401</v>
      </c>
      <c r="J14" s="51" t="s">
        <v>9</v>
      </c>
      <c r="K14" s="264"/>
      <c r="L14" s="266"/>
      <c r="M14" s="242"/>
      <c r="N14" s="241"/>
      <c r="O14" s="242"/>
      <c r="P14" s="241"/>
      <c r="Q14" s="242"/>
      <c r="R14" s="235"/>
      <c r="S14" s="235"/>
    </row>
    <row r="15" spans="1:19" ht="21.6" x14ac:dyDescent="0.3">
      <c r="A15" s="32"/>
      <c r="B15" s="51" t="s">
        <v>15</v>
      </c>
      <c r="C15" s="52" t="s">
        <v>36</v>
      </c>
      <c r="D15" s="207"/>
      <c r="E15" s="53" t="s">
        <v>17</v>
      </c>
      <c r="F15" s="54">
        <v>0</v>
      </c>
      <c r="G15" s="51">
        <v>1.36</v>
      </c>
      <c r="H15" s="56">
        <v>1360</v>
      </c>
      <c r="I15" s="51">
        <f t="shared" si="0"/>
        <v>4080</v>
      </c>
      <c r="J15" s="51" t="s">
        <v>9</v>
      </c>
      <c r="K15" s="264"/>
      <c r="L15" s="266"/>
      <c r="M15" s="242"/>
      <c r="N15" s="241"/>
      <c r="O15" s="242"/>
      <c r="P15" s="241"/>
      <c r="Q15" s="242"/>
      <c r="R15" s="235"/>
      <c r="S15" s="235"/>
    </row>
    <row r="16" spans="1:19" x14ac:dyDescent="0.3">
      <c r="A16" s="32"/>
      <c r="B16" s="51"/>
      <c r="C16" s="52"/>
      <c r="D16" s="207"/>
      <c r="E16" s="53" t="s">
        <v>19</v>
      </c>
      <c r="F16" s="54"/>
      <c r="G16" s="51"/>
      <c r="H16" s="56">
        <v>6</v>
      </c>
      <c r="I16" s="51">
        <v>13</v>
      </c>
      <c r="J16" s="51" t="s">
        <v>9</v>
      </c>
      <c r="K16" s="264"/>
      <c r="L16" s="266"/>
      <c r="M16" s="242"/>
      <c r="N16" s="241"/>
      <c r="O16" s="242"/>
      <c r="P16" s="241"/>
      <c r="Q16" s="242"/>
      <c r="R16" s="235"/>
      <c r="S16" s="235"/>
    </row>
    <row r="17" spans="1:19" x14ac:dyDescent="0.3">
      <c r="A17" s="32"/>
      <c r="B17" s="51"/>
      <c r="C17" s="52"/>
      <c r="D17" s="208"/>
      <c r="E17" s="53" t="s">
        <v>19</v>
      </c>
      <c r="F17" s="32"/>
      <c r="G17" s="51"/>
      <c r="H17" s="56">
        <v>5</v>
      </c>
      <c r="I17" s="56">
        <v>11</v>
      </c>
      <c r="J17" s="55" t="s">
        <v>56</v>
      </c>
      <c r="K17" s="264"/>
      <c r="L17" s="262"/>
      <c r="M17" s="240"/>
      <c r="N17" s="238"/>
      <c r="O17" s="240"/>
      <c r="P17" s="238"/>
      <c r="Q17" s="240"/>
      <c r="R17" s="235"/>
      <c r="S17" s="235"/>
    </row>
    <row r="18" spans="1:19" x14ac:dyDescent="0.3">
      <c r="A18" s="34"/>
      <c r="B18" s="58" t="s">
        <v>15</v>
      </c>
      <c r="C18" s="59" t="s">
        <v>41</v>
      </c>
      <c r="D18" s="183" t="s">
        <v>20</v>
      </c>
      <c r="E18" s="60" t="s">
        <v>17</v>
      </c>
      <c r="F18" s="34">
        <v>1.36</v>
      </c>
      <c r="G18" s="58">
        <v>1.88</v>
      </c>
      <c r="H18" s="61">
        <v>520</v>
      </c>
      <c r="I18" s="58">
        <f t="shared" si="0"/>
        <v>1560</v>
      </c>
      <c r="J18" s="58" t="s">
        <v>9</v>
      </c>
      <c r="K18" s="263">
        <f>SUM(L18:Q19,M20:R20,S18)</f>
        <v>0</v>
      </c>
      <c r="L18" s="261"/>
      <c r="M18" s="239">
        <f>L18*0.25</f>
        <v>0</v>
      </c>
      <c r="N18" s="237"/>
      <c r="O18" s="239">
        <f>N18*0.25</f>
        <v>0</v>
      </c>
      <c r="P18" s="237"/>
      <c r="Q18" s="239">
        <f>P18*0.1</f>
        <v>0</v>
      </c>
      <c r="R18" s="235"/>
      <c r="S18" s="235"/>
    </row>
    <row r="19" spans="1:19" ht="21.6" x14ac:dyDescent="0.3">
      <c r="A19" s="34" t="s">
        <v>7</v>
      </c>
      <c r="B19" s="58" t="s">
        <v>21</v>
      </c>
      <c r="C19" s="59" t="s">
        <v>42</v>
      </c>
      <c r="D19" s="184"/>
      <c r="E19" s="60" t="s">
        <v>17</v>
      </c>
      <c r="F19" s="63">
        <v>0</v>
      </c>
      <c r="G19" s="58">
        <v>0.255</v>
      </c>
      <c r="H19" s="61">
        <v>255</v>
      </c>
      <c r="I19" s="58">
        <f t="shared" si="0"/>
        <v>765</v>
      </c>
      <c r="J19" s="58" t="s">
        <v>9</v>
      </c>
      <c r="K19" s="264"/>
      <c r="L19" s="262"/>
      <c r="M19" s="240"/>
      <c r="N19" s="238"/>
      <c r="O19" s="240"/>
      <c r="P19" s="238"/>
      <c r="Q19" s="240"/>
      <c r="R19" s="235"/>
      <c r="S19" s="235"/>
    </row>
    <row r="20" spans="1:19" x14ac:dyDescent="0.3">
      <c r="A20" s="150"/>
      <c r="B20" s="58"/>
      <c r="C20" s="151" t="s">
        <v>72</v>
      </c>
      <c r="D20" s="149"/>
      <c r="E20" s="60" t="s">
        <v>72</v>
      </c>
      <c r="F20" s="63"/>
      <c r="G20" s="58"/>
      <c r="H20" s="61"/>
      <c r="I20" s="58"/>
      <c r="J20" s="58"/>
      <c r="K20" s="265"/>
      <c r="L20" s="154" t="s">
        <v>79</v>
      </c>
      <c r="M20" s="159"/>
      <c r="N20" s="159"/>
      <c r="O20" s="158">
        <f>N20*0.25</f>
        <v>0</v>
      </c>
      <c r="P20" s="159"/>
      <c r="Q20" s="158">
        <f>P20*0.1</f>
        <v>0</v>
      </c>
      <c r="R20" s="235"/>
      <c r="S20" s="235"/>
    </row>
    <row r="21" spans="1:19" x14ac:dyDescent="0.3">
      <c r="A21" s="69"/>
      <c r="B21" s="69" t="s">
        <v>21</v>
      </c>
      <c r="C21" s="109"/>
      <c r="D21" s="147" t="s">
        <v>23</v>
      </c>
      <c r="E21" s="71" t="s">
        <v>17</v>
      </c>
      <c r="F21" s="72">
        <v>0.255</v>
      </c>
      <c r="G21" s="69">
        <v>1.145</v>
      </c>
      <c r="H21" s="73">
        <v>890</v>
      </c>
      <c r="I21" s="73">
        <f t="shared" si="0"/>
        <v>2670</v>
      </c>
      <c r="J21" s="73" t="s">
        <v>56</v>
      </c>
      <c r="K21" s="155">
        <f>SUM(L21:Q21)</f>
        <v>0</v>
      </c>
      <c r="L21" s="157"/>
      <c r="M21" s="158">
        <f>L21*0.25</f>
        <v>0</v>
      </c>
      <c r="N21" s="159"/>
      <c r="O21" s="158">
        <f>N21*0.25</f>
        <v>0</v>
      </c>
      <c r="P21" s="159"/>
      <c r="Q21" s="158">
        <f>P21*0.1</f>
        <v>0</v>
      </c>
      <c r="R21" s="236"/>
      <c r="S21" s="236"/>
    </row>
    <row r="22" spans="1:19" ht="26.4" customHeight="1" thickBot="1" x14ac:dyDescent="0.35">
      <c r="A22" s="195" t="s">
        <v>49</v>
      </c>
      <c r="B22" s="196"/>
      <c r="C22" s="196"/>
      <c r="D22" s="197"/>
      <c r="E22" s="125"/>
      <c r="F22" s="126"/>
      <c r="G22" s="127"/>
      <c r="H22" s="128">
        <f>SUM(H4:H21)</f>
        <v>7651.4</v>
      </c>
      <c r="I22" s="128">
        <f>SUM(I4:I21)</f>
        <v>22940</v>
      </c>
      <c r="J22" s="148" t="s">
        <v>56</v>
      </c>
      <c r="K22" s="156">
        <f>SUM(L22:Q22,S22)</f>
        <v>0</v>
      </c>
      <c r="L22" s="165">
        <f>SUM(L4:L19,L21)</f>
        <v>0</v>
      </c>
      <c r="M22" s="166">
        <f>SUM(M4:M21)</f>
        <v>0</v>
      </c>
      <c r="N22" s="166">
        <f t="shared" ref="N22:Q22" si="1">SUM(N4:N21)</f>
        <v>0</v>
      </c>
      <c r="O22" s="166">
        <f t="shared" si="1"/>
        <v>0</v>
      </c>
      <c r="P22" s="166">
        <f t="shared" si="1"/>
        <v>0</v>
      </c>
      <c r="Q22" s="166">
        <f t="shared" si="1"/>
        <v>0</v>
      </c>
      <c r="R22" s="167"/>
      <c r="S22" s="168">
        <f>SUM(S4)</f>
        <v>0</v>
      </c>
    </row>
    <row r="23" spans="1:19" x14ac:dyDescent="0.3">
      <c r="A23" s="173" t="s">
        <v>53</v>
      </c>
      <c r="B23" s="174"/>
      <c r="C23" s="174"/>
      <c r="D23" s="175"/>
      <c r="E23" s="74"/>
      <c r="F23" s="75"/>
      <c r="G23" s="76"/>
      <c r="H23" s="77"/>
      <c r="I23" s="76"/>
      <c r="J23" s="76"/>
      <c r="K23" s="161"/>
    </row>
    <row r="24" spans="1:19" x14ac:dyDescent="0.3">
      <c r="A24" s="79" t="s">
        <v>71</v>
      </c>
      <c r="B24" s="80"/>
      <c r="C24" s="80"/>
      <c r="D24" s="81"/>
      <c r="E24" s="74"/>
      <c r="F24" s="75"/>
      <c r="G24" s="76"/>
      <c r="H24" s="77"/>
      <c r="I24" s="76"/>
      <c r="J24" s="76"/>
      <c r="K24" s="162"/>
    </row>
    <row r="25" spans="1:19" ht="15" customHeight="1" thickBot="1" x14ac:dyDescent="0.35">
      <c r="A25" s="170" t="s">
        <v>54</v>
      </c>
      <c r="B25" s="171"/>
      <c r="C25" s="171"/>
      <c r="D25" s="172"/>
      <c r="E25" s="82"/>
      <c r="F25" s="83"/>
      <c r="G25" s="84"/>
      <c r="H25" s="85"/>
      <c r="I25" s="84"/>
      <c r="J25" s="84"/>
      <c r="K25" s="163"/>
    </row>
    <row r="28" spans="1:19" x14ac:dyDescent="0.3">
      <c r="A28" s="169" t="s">
        <v>82</v>
      </c>
    </row>
  </sheetData>
  <mergeCells count="61">
    <mergeCell ref="A25:D25"/>
    <mergeCell ref="D18:D19"/>
    <mergeCell ref="D9:D12"/>
    <mergeCell ref="K9:K12"/>
    <mergeCell ref="D13:D17"/>
    <mergeCell ref="K13:K17"/>
    <mergeCell ref="A22:D22"/>
    <mergeCell ref="K18:K20"/>
    <mergeCell ref="A23:D23"/>
    <mergeCell ref="O7:O8"/>
    <mergeCell ref="M4:M6"/>
    <mergeCell ref="N4:N6"/>
    <mergeCell ref="M7:M8"/>
    <mergeCell ref="L18:L19"/>
    <mergeCell ref="L13:L17"/>
    <mergeCell ref="L7:L8"/>
    <mergeCell ref="L9:L12"/>
    <mergeCell ref="N7:N8"/>
    <mergeCell ref="L4:L6"/>
    <mergeCell ref="O18:O19"/>
    <mergeCell ref="O9:O12"/>
    <mergeCell ref="M13:M17"/>
    <mergeCell ref="N13:N17"/>
    <mergeCell ref="O13:O17"/>
    <mergeCell ref="M18:M19"/>
    <mergeCell ref="M9:M12"/>
    <mergeCell ref="N9:N12"/>
    <mergeCell ref="F2:F3"/>
    <mergeCell ref="D4:D6"/>
    <mergeCell ref="K4:K6"/>
    <mergeCell ref="D7:D8"/>
    <mergeCell ref="N18:N19"/>
    <mergeCell ref="K7:K8"/>
    <mergeCell ref="N2:O2"/>
    <mergeCell ref="A2:A3"/>
    <mergeCell ref="R2:R3"/>
    <mergeCell ref="L2:M2"/>
    <mergeCell ref="P2:Q2"/>
    <mergeCell ref="P4:P6"/>
    <mergeCell ref="Q4:Q6"/>
    <mergeCell ref="O4:O6"/>
    <mergeCell ref="G2:G3"/>
    <mergeCell ref="H2:H3"/>
    <mergeCell ref="I2:I3"/>
    <mergeCell ref="J2:J3"/>
    <mergeCell ref="K2:K3"/>
    <mergeCell ref="B2:B3"/>
    <mergeCell ref="C2:C3"/>
    <mergeCell ref="D2:D3"/>
    <mergeCell ref="E2:E3"/>
    <mergeCell ref="S2:S3"/>
    <mergeCell ref="S4:S21"/>
    <mergeCell ref="P7:P8"/>
    <mergeCell ref="Q7:Q8"/>
    <mergeCell ref="P9:P12"/>
    <mergeCell ref="Q9:Q12"/>
    <mergeCell ref="P13:P17"/>
    <mergeCell ref="Q13:Q17"/>
    <mergeCell ref="P18:P19"/>
    <mergeCell ref="Q18:Q19"/>
    <mergeCell ref="R4:R2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Prcek</dc:creator>
  <cp:lastModifiedBy>Ladislav Kavřík</cp:lastModifiedBy>
  <cp:lastPrinted>2017-05-29T17:17:26Z</cp:lastPrinted>
  <dcterms:created xsi:type="dcterms:W3CDTF">2017-05-25T12:29:56Z</dcterms:created>
  <dcterms:modified xsi:type="dcterms:W3CDTF">2018-08-14T04:00:14Z</dcterms:modified>
</cp:coreProperties>
</file>